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6915" windowHeight="5205" tabRatio="680"/>
  </bookViews>
  <sheets>
    <sheet name="Instrucciones Wikiexplora.com" sheetId="65" r:id="rId1"/>
    <sheet name="Alimentación - Wikiexplora.com" sheetId="24" r:id="rId2"/>
  </sheets>
  <calcPr calcId="145621"/>
</workbook>
</file>

<file path=xl/calcChain.xml><?xml version="1.0" encoding="utf-8"?>
<calcChain xmlns="http://schemas.openxmlformats.org/spreadsheetml/2006/main">
  <c r="E8" i="24" l="1"/>
  <c r="Y34" i="24"/>
  <c r="H4" i="24"/>
  <c r="H5" i="24" s="1"/>
  <c r="W2" i="24" l="1"/>
  <c r="V2" i="24"/>
  <c r="U2" i="24"/>
  <c r="G32" i="24" l="1"/>
  <c r="H32" i="24"/>
  <c r="S32" i="24"/>
  <c r="S33" i="24"/>
  <c r="M33" i="24"/>
  <c r="H33" i="24"/>
  <c r="G33" i="24"/>
  <c r="O33" i="24" l="1"/>
  <c r="Y33" i="24"/>
  <c r="O32" i="24"/>
  <c r="Y32" i="24"/>
  <c r="T32" i="24"/>
  <c r="U32" i="24" s="1"/>
  <c r="T33" i="24"/>
  <c r="V32" i="24" l="1"/>
  <c r="W32" i="24"/>
  <c r="U33" i="24"/>
  <c r="V33" i="24"/>
  <c r="W33" i="24"/>
  <c r="M32" i="24" l="1"/>
  <c r="E25" i="24" l="1"/>
  <c r="E23" i="24"/>
  <c r="E21" i="24"/>
  <c r="S49" i="24"/>
  <c r="H49" i="24"/>
  <c r="G49" i="24"/>
  <c r="S48" i="24"/>
  <c r="S47" i="24"/>
  <c r="M47" i="24"/>
  <c r="H47" i="24"/>
  <c r="S46" i="24"/>
  <c r="Y46" i="24" s="1"/>
  <c r="N46" i="24"/>
  <c r="M46" i="24"/>
  <c r="H46" i="24"/>
  <c r="S45" i="24"/>
  <c r="M45" i="24"/>
  <c r="H45" i="24"/>
  <c r="S44" i="24"/>
  <c r="M44" i="24"/>
  <c r="H44" i="24"/>
  <c r="S43" i="24"/>
  <c r="M43" i="24"/>
  <c r="H43" i="24"/>
  <c r="G43" i="24"/>
  <c r="S42" i="24"/>
  <c r="Y42" i="24" s="1"/>
  <c r="M42" i="24"/>
  <c r="H42" i="24"/>
  <c r="G42" i="24"/>
  <c r="S41" i="24"/>
  <c r="L41" i="24"/>
  <c r="K41" i="24"/>
  <c r="J41" i="24"/>
  <c r="S40" i="24"/>
  <c r="Y40" i="24" s="1"/>
  <c r="M40" i="24"/>
  <c r="H40" i="24"/>
  <c r="G40" i="24"/>
  <c r="S39" i="24"/>
  <c r="M39" i="24"/>
  <c r="H39" i="24"/>
  <c r="G39" i="24"/>
  <c r="S38" i="24"/>
  <c r="M38" i="24"/>
  <c r="H38" i="24"/>
  <c r="G38" i="24"/>
  <c r="S37" i="24"/>
  <c r="M37" i="24"/>
  <c r="H37" i="24"/>
  <c r="G37" i="24"/>
  <c r="S36" i="24"/>
  <c r="M36" i="24"/>
  <c r="H36" i="24"/>
  <c r="G36" i="24"/>
  <c r="S35" i="24"/>
  <c r="M35" i="24"/>
  <c r="H35" i="24"/>
  <c r="G35" i="24"/>
  <c r="S31" i="24"/>
  <c r="M31" i="24"/>
  <c r="H31" i="24"/>
  <c r="G31" i="24"/>
  <c r="S30" i="24"/>
  <c r="M30" i="24"/>
  <c r="H30" i="24"/>
  <c r="G30" i="24"/>
  <c r="S29" i="24"/>
  <c r="M29" i="24"/>
  <c r="H29" i="24"/>
  <c r="G29" i="24"/>
  <c r="S28" i="24"/>
  <c r="M28" i="24"/>
  <c r="H28" i="24"/>
  <c r="G28" i="24"/>
  <c r="S27" i="24"/>
  <c r="M27" i="24"/>
  <c r="H27" i="24"/>
  <c r="G27" i="24"/>
  <c r="S26" i="24"/>
  <c r="M26" i="24"/>
  <c r="H26" i="24"/>
  <c r="S25" i="24"/>
  <c r="M25" i="24"/>
  <c r="H25" i="24"/>
  <c r="S24" i="24"/>
  <c r="M24" i="24"/>
  <c r="H24" i="24"/>
  <c r="S23" i="24"/>
  <c r="M23" i="24"/>
  <c r="H23" i="24"/>
  <c r="S22" i="24"/>
  <c r="M22" i="24"/>
  <c r="H22" i="24"/>
  <c r="S21" i="24"/>
  <c r="M21" i="24"/>
  <c r="H21" i="24"/>
  <c r="S20" i="24"/>
  <c r="M20" i="24"/>
  <c r="H20" i="24"/>
  <c r="S19" i="24"/>
  <c r="O19" i="24" s="1"/>
  <c r="M19" i="24"/>
  <c r="H19" i="24"/>
  <c r="G19" i="24"/>
  <c r="S18" i="24"/>
  <c r="M18" i="24"/>
  <c r="H18" i="24"/>
  <c r="G18" i="24"/>
  <c r="S17" i="24"/>
  <c r="M17" i="24"/>
  <c r="H17" i="24"/>
  <c r="G17" i="24"/>
  <c r="S16" i="24"/>
  <c r="M16" i="24"/>
  <c r="H16" i="24"/>
  <c r="G16" i="24"/>
  <c r="S15" i="24"/>
  <c r="N15" i="24"/>
  <c r="M15" i="24"/>
  <c r="H15" i="24"/>
  <c r="S14" i="24"/>
  <c r="M14" i="24"/>
  <c r="H14" i="24"/>
  <c r="G14" i="24"/>
  <c r="S13" i="24"/>
  <c r="S12" i="24"/>
  <c r="M12" i="24"/>
  <c r="H12" i="24"/>
  <c r="G12" i="24"/>
  <c r="S11" i="24"/>
  <c r="Y11" i="24" s="1"/>
  <c r="H11" i="24"/>
  <c r="S10" i="24"/>
  <c r="Y10" i="24" s="1"/>
  <c r="H10" i="24"/>
  <c r="G10" i="24"/>
  <c r="S9" i="24"/>
  <c r="Y9" i="24" s="1"/>
  <c r="M9" i="24"/>
  <c r="H9" i="24"/>
  <c r="G9" i="24"/>
  <c r="S8" i="24"/>
  <c r="M8" i="24"/>
  <c r="H8" i="24"/>
  <c r="G8" i="24"/>
  <c r="S7" i="24"/>
  <c r="O7" i="24" s="1"/>
  <c r="N7" i="24"/>
  <c r="N11" i="24" s="1"/>
  <c r="M7" i="24"/>
  <c r="H7" i="24"/>
  <c r="AD3" i="24"/>
  <c r="G7" i="24" l="1"/>
  <c r="T15" i="24"/>
  <c r="V15" i="24" s="1"/>
  <c r="Y15" i="24"/>
  <c r="Y19" i="24"/>
  <c r="T20" i="24"/>
  <c r="W20" i="24" s="1"/>
  <c r="O22" i="24"/>
  <c r="Y22" i="24" s="1"/>
  <c r="O23" i="24"/>
  <c r="Y23" i="24" s="1"/>
  <c r="O24" i="24"/>
  <c r="Y24" i="24"/>
  <c r="O25" i="24"/>
  <c r="Y25" i="24" s="1"/>
  <c r="O26" i="24"/>
  <c r="Y26" i="24" s="1"/>
  <c r="T30" i="24"/>
  <c r="U30" i="24" s="1"/>
  <c r="Y30" i="24"/>
  <c r="T48" i="24"/>
  <c r="W48" i="24" s="1"/>
  <c r="Y48" i="24"/>
  <c r="T12" i="24"/>
  <c r="V12" i="24" s="1"/>
  <c r="Y12" i="24"/>
  <c r="O16" i="24"/>
  <c r="Y16" i="24" s="1"/>
  <c r="O27" i="24"/>
  <c r="Y27" i="24"/>
  <c r="O31" i="24"/>
  <c r="Y31" i="24"/>
  <c r="O38" i="24"/>
  <c r="Y38" i="24"/>
  <c r="O44" i="24"/>
  <c r="Y44" i="24" s="1"/>
  <c r="O45" i="24"/>
  <c r="Y45" i="24"/>
  <c r="T13" i="24"/>
  <c r="W13" i="24" s="1"/>
  <c r="Y13" i="24"/>
  <c r="O17" i="24"/>
  <c r="Y17" i="24" s="1"/>
  <c r="T28" i="24"/>
  <c r="U28" i="24" s="1"/>
  <c r="Y28" i="24"/>
  <c r="O35" i="24"/>
  <c r="T39" i="24"/>
  <c r="U39" i="24" s="1"/>
  <c r="T9" i="24"/>
  <c r="U9" i="24" s="1"/>
  <c r="O14" i="24"/>
  <c r="Y14" i="24" s="1"/>
  <c r="O18" i="24"/>
  <c r="Y18" i="24" s="1"/>
  <c r="O29" i="24"/>
  <c r="Y29" i="24" s="1"/>
  <c r="T46" i="24"/>
  <c r="W46" i="24" s="1"/>
  <c r="O47" i="24"/>
  <c r="Y47" i="24" s="1"/>
  <c r="T49" i="24"/>
  <c r="W49" i="24" s="1"/>
  <c r="Y49" i="24"/>
  <c r="G41" i="24"/>
  <c r="M41" i="24"/>
  <c r="T22" i="24"/>
  <c r="U22" i="24" s="1"/>
  <c r="T23" i="24"/>
  <c r="U23" i="24" s="1"/>
  <c r="O39" i="24"/>
  <c r="Y39" i="24" s="1"/>
  <c r="H41" i="24"/>
  <c r="T40" i="24"/>
  <c r="W40" i="24" s="1"/>
  <c r="T14" i="24"/>
  <c r="U14" i="24" s="1"/>
  <c r="T35" i="24"/>
  <c r="U35" i="24" s="1"/>
  <c r="T45" i="24"/>
  <c r="V45" i="24" s="1"/>
  <c r="T38" i="24"/>
  <c r="W38" i="24" s="1"/>
  <c r="U48" i="24"/>
  <c r="O40" i="24"/>
  <c r="T24" i="24"/>
  <c r="W24" i="24" s="1"/>
  <c r="T31" i="24"/>
  <c r="U31" i="24" s="1"/>
  <c r="O12" i="24"/>
  <c r="O30" i="24"/>
  <c r="O28" i="24"/>
  <c r="T29" i="24"/>
  <c r="U29" i="24" s="1"/>
  <c r="T44" i="24"/>
  <c r="U44" i="24" s="1"/>
  <c r="O20" i="24"/>
  <c r="Y20" i="24" s="1"/>
  <c r="V20" i="24"/>
  <c r="T19" i="24"/>
  <c r="W19" i="24" s="1"/>
  <c r="T27" i="24"/>
  <c r="U27" i="24" s="1"/>
  <c r="T18" i="24"/>
  <c r="T26" i="24"/>
  <c r="U26" i="24" s="1"/>
  <c r="T17" i="24"/>
  <c r="W17" i="24" s="1"/>
  <c r="T16" i="24"/>
  <c r="W16" i="24" s="1"/>
  <c r="E11" i="24"/>
  <c r="T8" i="24"/>
  <c r="O8" i="24"/>
  <c r="Y8" i="24" s="1"/>
  <c r="E12" i="24"/>
  <c r="E14" i="24"/>
  <c r="E13" i="24"/>
  <c r="T11" i="24"/>
  <c r="G11" i="24"/>
  <c r="T7" i="24"/>
  <c r="T10" i="24"/>
  <c r="W12" i="24"/>
  <c r="O36" i="24"/>
  <c r="Y36" i="24" s="1"/>
  <c r="O21" i="24"/>
  <c r="Y21" i="24" s="1"/>
  <c r="W30" i="24"/>
  <c r="O37" i="24"/>
  <c r="Y37" i="24" s="1"/>
  <c r="O41" i="24"/>
  <c r="Y41" i="24" s="1"/>
  <c r="O42" i="24"/>
  <c r="O43" i="24"/>
  <c r="Y43" i="24" s="1"/>
  <c r="T21" i="24"/>
  <c r="T25" i="24"/>
  <c r="T36" i="24"/>
  <c r="T37" i="24"/>
  <c r="T41" i="24"/>
  <c r="T42" i="24"/>
  <c r="T43" i="24"/>
  <c r="T47" i="24"/>
  <c r="U12" i="24" l="1"/>
  <c r="V13" i="24"/>
  <c r="V30" i="24"/>
  <c r="U20" i="24"/>
  <c r="W44" i="24"/>
  <c r="V48" i="24"/>
  <c r="W15" i="24"/>
  <c r="U15" i="24"/>
  <c r="V9" i="24"/>
  <c r="V28" i="24"/>
  <c r="V23" i="24"/>
  <c r="W39" i="24"/>
  <c r="W35" i="24"/>
  <c r="U13" i="24"/>
  <c r="W28" i="24"/>
  <c r="W9" i="24"/>
  <c r="U46" i="24"/>
  <c r="V35" i="24"/>
  <c r="V46" i="24"/>
  <c r="V49" i="24"/>
  <c r="V39" i="24"/>
  <c r="W45" i="24"/>
  <c r="U49" i="24"/>
  <c r="U40" i="24"/>
  <c r="Z14" i="24"/>
  <c r="Z15" i="24" s="1"/>
  <c r="Z16" i="24" s="1"/>
  <c r="Z17" i="24" s="1"/>
  <c r="Z18" i="24" s="1"/>
  <c r="Z19" i="24" s="1"/>
  <c r="Z20" i="24" s="1"/>
  <c r="Z21" i="24" s="1"/>
  <c r="Z22" i="24" s="1"/>
  <c r="Z23" i="24" s="1"/>
  <c r="Z24" i="24" s="1"/>
  <c r="Z25" i="24" s="1"/>
  <c r="Z26" i="24" s="1"/>
  <c r="Z27" i="24" s="1"/>
  <c r="Z28" i="24" s="1"/>
  <c r="Z29" i="24" s="1"/>
  <c r="Z30" i="24" s="1"/>
  <c r="Z31" i="24" s="1"/>
  <c r="Z32" i="24" s="1"/>
  <c r="Y35" i="24"/>
  <c r="Z35" i="24" s="1"/>
  <c r="Y7" i="24"/>
  <c r="Z7" i="24" s="1"/>
  <c r="Z8" i="24" s="1"/>
  <c r="Z9" i="24" s="1"/>
  <c r="Z10" i="24" s="1"/>
  <c r="Z11" i="24" s="1"/>
  <c r="Z12" i="24" s="1"/>
  <c r="E22" i="24" s="1"/>
  <c r="W23" i="24"/>
  <c r="W26" i="24"/>
  <c r="V44" i="24"/>
  <c r="V29" i="24"/>
  <c r="V26" i="24"/>
  <c r="U45" i="24"/>
  <c r="V22" i="24"/>
  <c r="W31" i="24"/>
  <c r="W14" i="24"/>
  <c r="V14" i="24"/>
  <c r="U38" i="24"/>
  <c r="W22" i="24"/>
  <c r="V31" i="24"/>
  <c r="V38" i="24"/>
  <c r="V40" i="24"/>
  <c r="U24" i="24"/>
  <c r="V24" i="24"/>
  <c r="W29" i="24"/>
  <c r="V19" i="24"/>
  <c r="U19" i="24"/>
  <c r="W27" i="24"/>
  <c r="V27" i="24"/>
  <c r="V18" i="24"/>
  <c r="U18" i="24"/>
  <c r="W18" i="24"/>
  <c r="V17" i="24"/>
  <c r="U17" i="24"/>
  <c r="V16" i="24"/>
  <c r="U16" i="24"/>
  <c r="W43" i="24"/>
  <c r="V43" i="24"/>
  <c r="U43" i="24"/>
  <c r="W36" i="24"/>
  <c r="V36" i="24"/>
  <c r="U36" i="24"/>
  <c r="W41" i="24"/>
  <c r="V41" i="24"/>
  <c r="U41" i="24"/>
  <c r="W42" i="24"/>
  <c r="V42" i="24"/>
  <c r="U42" i="24"/>
  <c r="W25" i="24"/>
  <c r="V25" i="24"/>
  <c r="U25" i="24"/>
  <c r="V7" i="24"/>
  <c r="U7" i="24"/>
  <c r="W7" i="24"/>
  <c r="V11" i="24"/>
  <c r="W11" i="24"/>
  <c r="U11" i="24"/>
  <c r="V21" i="24"/>
  <c r="U21" i="24"/>
  <c r="W21" i="24"/>
  <c r="V10" i="24"/>
  <c r="U10" i="24"/>
  <c r="W10" i="24"/>
  <c r="X2" i="24"/>
  <c r="W47" i="24"/>
  <c r="V47" i="24"/>
  <c r="U47" i="24"/>
  <c r="V37" i="24"/>
  <c r="U37" i="24"/>
  <c r="W37" i="24"/>
  <c r="V8" i="24"/>
  <c r="U8" i="24"/>
  <c r="W8" i="24"/>
  <c r="U3" i="24" l="1"/>
  <c r="E16" i="24" s="1"/>
  <c r="W3" i="24"/>
  <c r="V3" i="24"/>
  <c r="Z36" i="24" l="1"/>
  <c r="Z37" i="24" s="1"/>
  <c r="Z33" i="24"/>
  <c r="E24" i="24" s="1"/>
  <c r="X3" i="24"/>
  <c r="E19" i="24"/>
  <c r="E17" i="24"/>
  <c r="E18" i="24"/>
  <c r="W5" i="24" l="1"/>
  <c r="V5" i="24"/>
  <c r="U5" i="24"/>
  <c r="Z38" i="24"/>
  <c r="Z39" i="24" s="1"/>
  <c r="Z40" i="24" s="1"/>
  <c r="Z41" i="24" s="1"/>
  <c r="Z42" i="24" s="1"/>
  <c r="Z43" i="24" s="1"/>
  <c r="Z44" i="24" s="1"/>
  <c r="Z45" i="24" s="1"/>
  <c r="Z46" i="24" s="1"/>
  <c r="Z47" i="24" s="1"/>
  <c r="AE37" i="24"/>
  <c r="X5" i="24" l="1"/>
  <c r="Z48" i="24"/>
  <c r="Z49" i="24" s="1"/>
  <c r="E26" i="24" s="1"/>
</calcChain>
</file>

<file path=xl/sharedStrings.xml><?xml version="1.0" encoding="utf-8"?>
<sst xmlns="http://schemas.openxmlformats.org/spreadsheetml/2006/main" count="149" uniqueCount="127">
  <si>
    <t>Carbohidratos</t>
  </si>
  <si>
    <t xml:space="preserve">Maní </t>
  </si>
  <si>
    <t>Proteínas</t>
  </si>
  <si>
    <t>Grasa</t>
  </si>
  <si>
    <t>Chocolate leche</t>
  </si>
  <si>
    <t>Trencito Nestle</t>
  </si>
  <si>
    <t>Atún en agua</t>
  </si>
  <si>
    <t>Salsa de tomate</t>
  </si>
  <si>
    <t>Bebida isotónica en polvo</t>
  </si>
  <si>
    <t>Zuko Go</t>
  </si>
  <si>
    <t>Carozzi</t>
  </si>
  <si>
    <t xml:space="preserve">Crema de avellanas </t>
  </si>
  <si>
    <t>Jugo sin azúcar añadida</t>
  </si>
  <si>
    <t>Vivo Herbal</t>
  </si>
  <si>
    <t>Oreo</t>
  </si>
  <si>
    <t>Donuts Costa</t>
  </si>
  <si>
    <t>Mayonesa</t>
  </si>
  <si>
    <t>Bon o bon</t>
  </si>
  <si>
    <t>Galletas recubiertas de chocolate</t>
  </si>
  <si>
    <t>Galletas con crema</t>
  </si>
  <si>
    <t>Ravioles ricotta espinaca</t>
  </si>
  <si>
    <t>Ravioles de carne</t>
  </si>
  <si>
    <t>Cena</t>
  </si>
  <si>
    <t>Desayuno</t>
  </si>
  <si>
    <t>Leche chocolate en polvo</t>
  </si>
  <si>
    <t>Té</t>
  </si>
  <si>
    <t>Barra de cereal con chocolate</t>
  </si>
  <si>
    <t>Jamón</t>
  </si>
  <si>
    <t>Salame</t>
  </si>
  <si>
    <t>Pan</t>
  </si>
  <si>
    <t>Café</t>
  </si>
  <si>
    <t>Atún en aceite</t>
  </si>
  <si>
    <t>Cous Cous</t>
  </si>
  <si>
    <t>Galleta con crema</t>
  </si>
  <si>
    <t>Tritón clásica</t>
  </si>
  <si>
    <t>Frac clásica</t>
  </si>
  <si>
    <t>Maggi, crema choclo</t>
  </si>
  <si>
    <t>Sopa para uno</t>
  </si>
  <si>
    <t>Maggi, vegetales</t>
  </si>
  <si>
    <t>Caloría por unidad</t>
  </si>
  <si>
    <t>Meta</t>
  </si>
  <si>
    <t>Logrado</t>
  </si>
  <si>
    <t>Queso rallado</t>
  </si>
  <si>
    <t>Líder</t>
  </si>
  <si>
    <t>Carne de soya</t>
  </si>
  <si>
    <t>Barra proteica</t>
  </si>
  <si>
    <t>Queso en trozos</t>
  </si>
  <si>
    <t>Queso ahumado Los Tilos</t>
  </si>
  <si>
    <t xml:space="preserve">Puré </t>
  </si>
  <si>
    <t>Arroz</t>
  </si>
  <si>
    <t>Leche en polvo (para puré)</t>
  </si>
  <si>
    <t>PF</t>
  </si>
  <si>
    <t>Paté sabor ternera</t>
  </si>
  <si>
    <t>Pregraneado Líder</t>
  </si>
  <si>
    <t>Entera Líder</t>
  </si>
  <si>
    <t>% Grasa</t>
  </si>
  <si>
    <t>Barra ultraproteica</t>
  </si>
  <si>
    <t>Protein Bar Plus</t>
  </si>
  <si>
    <t>Unidad</t>
  </si>
  <si>
    <t>Sopa en polvo</t>
  </si>
  <si>
    <t>cucharadas soperas rebosantes</t>
  </si>
  <si>
    <t>*</t>
  </si>
  <si>
    <t>Sin valor nutricional</t>
  </si>
  <si>
    <t>Queso laminado</t>
  </si>
  <si>
    <t>unidades</t>
  </si>
  <si>
    <t>gauda Líder</t>
  </si>
  <si>
    <t>laminado Líder</t>
  </si>
  <si>
    <t>&lt;nowiki&gt;*&lt;/nowiki&gt;Sal a gusto</t>
  </si>
  <si>
    <t>a elección*</t>
  </si>
  <si>
    <t>bolsas*</t>
  </si>
  <si>
    <t>Hellman's</t>
  </si>
  <si>
    <t>Endulzante</t>
  </si>
  <si>
    <t>paquete</t>
  </si>
  <si>
    <t xml:space="preserve">&lt;nowiki&gt;*&lt;/nowiki&gt;Aliños </t>
  </si>
  <si>
    <t>|-</t>
  </si>
  <si>
    <t>|}</t>
  </si>
  <si>
    <t>{{intro alimentacion}}</t>
  </si>
  <si>
    <t>pechuga de pavo asada PF</t>
  </si>
  <si>
    <t>pan de hamburguesa Líder</t>
  </si>
  <si>
    <t>{{footer alimentacion}}</t>
  </si>
  <si>
    <t>{| class="wikitable" style="text-align: center;"</t>
  </si>
  <si>
    <t>[https://www.nutracom.cl/tienda/protein-snack/protein-snack-rich-caramel.html Protein Snack]</t>
  </si>
  <si>
    <t>Gramos totales</t>
  </si>
  <si>
    <t>Gramos / unidad</t>
  </si>
  <si>
    <t>Gramos macronutr</t>
  </si>
  <si>
    <t>porción envasada en casa</t>
  </si>
  <si>
    <t>Hot cocoa mix Great Value 567 gr</t>
  </si>
  <si>
    <t>McKay</t>
  </si>
  <si>
    <t>Galletas de vino</t>
  </si>
  <si>
    <t>Ciruelas deshidratadas sin carozo</t>
  </si>
  <si>
    <t>Alto La Cruz</t>
  </si>
  <si>
    <t>Ingresa</t>
  </si>
  <si>
    <t>Número de personas</t>
  </si>
  <si>
    <t>Se traduce en</t>
  </si>
  <si>
    <t>kilocalorías por persona</t>
  </si>
  <si>
    <t>kilocalorías totales</t>
  </si>
  <si>
    <t>Kilocalorías diarias (estándar adulto = 3500)</t>
  </si>
  <si>
    <t>Número de días (EXCLUYE 1° desayuno y última cena)</t>
  </si>
  <si>
    <t>de</t>
  </si>
  <si>
    <t>marcha</t>
  </si>
  <si>
    <t>Ración</t>
  </si>
  <si>
    <t>Meta %</t>
  </si>
  <si>
    <t>Logrado %</t>
  </si>
  <si>
    <t>2. Ingresa</t>
  </si>
  <si>
    <t>Cantidad para una persona</t>
  </si>
  <si>
    <t>Cantidad para X personas</t>
  </si>
  <si>
    <t>Ingresa kilocalorías diarias</t>
  </si>
  <si>
    <t>#</t>
  </si>
  <si>
    <t>Paso</t>
  </si>
  <si>
    <t>ingresa número de días</t>
  </si>
  <si>
    <t>Ingresa número de personas</t>
  </si>
  <si>
    <t>Gramos</t>
  </si>
  <si>
    <t>Kcal</t>
  </si>
  <si>
    <t>Ingresa cantidad de productos para UNA SOLA PERSONA</t>
  </si>
  <si>
    <t>Celda(s) respectiva(s) de hoja "Alimentación"</t>
  </si>
  <si>
    <t>Producto específico</t>
  </si>
  <si>
    <t>Tipo de producto</t>
  </si>
  <si>
    <t xml:space="preserve">3. Copia
&amp; pega </t>
  </si>
  <si>
    <t>F3</t>
  </si>
  <si>
    <t>F4</t>
  </si>
  <si>
    <t>F5</t>
  </si>
  <si>
    <t>COLUMNA R</t>
  </si>
  <si>
    <t>Copia el código resultante</t>
  </si>
  <si>
    <t>E7 a E27</t>
  </si>
  <si>
    <t>Pega y corta el contenido en Word (es para eliminar comillas extra; nuestras disculpas por este paso extra, no hemos logrado eliminar esas columnas)</t>
  </si>
  <si>
    <t>Pega el resultado en tu página de usuario (debes estar loggeado). Es la opción del extremo izquierdo del menú superior de Wikiexplora. Si nunca la has editado, estará en texto rojo</t>
  </si>
  <si>
    <t>Usa la lista en tu teléfono en el supermercado, pinchando los productos a medida que los introduces al carro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</si>
</sst>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b/>
      <sz val="9"/>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indexed="6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0" xfId="0" applyBorder="1"/>
    <xf numFmtId="0" fontId="0" fillId="2" borderId="0" xfId="0" applyFill="1" applyBorder="1"/>
    <xf numFmtId="164" fontId="0" fillId="0" borderId="0" xfId="0" applyNumberFormat="1" applyBorder="1"/>
    <xf numFmtId="0" fontId="0" fillId="0" borderId="0" xfId="0" applyFill="1" applyBorder="1"/>
    <xf numFmtId="0" fontId="2" fillId="2" borderId="1" xfId="0" applyFont="1" applyFill="1" applyBorder="1"/>
    <xf numFmtId="0" fontId="2" fillId="4" borderId="2" xfId="0" applyFont="1" applyFill="1" applyBorder="1" applyAlignment="1">
      <alignment horizontal="center" vertical="center" wrapText="1"/>
    </xf>
    <xf numFmtId="0" fontId="2" fillId="0" borderId="0" xfId="0" applyFont="1" applyFill="1" applyBorder="1"/>
    <xf numFmtId="164" fontId="0" fillId="0" borderId="0" xfId="0" applyNumberFormat="1" applyFill="1" applyBorder="1"/>
    <xf numFmtId="0" fontId="0" fillId="0" borderId="0" xfId="0" applyFill="1"/>
    <xf numFmtId="0" fontId="3" fillId="0" borderId="0" xfId="0" applyFont="1" applyFill="1" applyBorder="1"/>
    <xf numFmtId="0" fontId="4" fillId="0" borderId="0" xfId="0" applyFont="1" applyBorder="1"/>
    <xf numFmtId="0" fontId="4" fillId="7" borderId="1" xfId="0" applyFont="1" applyFill="1" applyBorder="1" applyAlignment="1">
      <alignment horizontal="center"/>
    </xf>
    <xf numFmtId="0" fontId="3" fillId="8" borderId="7" xfId="0" applyFont="1" applyFill="1" applyBorder="1" applyAlignment="1">
      <alignment horizontal="center"/>
    </xf>
    <xf numFmtId="0" fontId="3" fillId="7" borderId="8" xfId="0" applyFont="1" applyFill="1" applyBorder="1" applyAlignment="1">
      <alignment horizontal="center"/>
    </xf>
    <xf numFmtId="0" fontId="3" fillId="9" borderId="9" xfId="0" applyFont="1" applyFill="1" applyBorder="1" applyAlignment="1">
      <alignment horizontal="center"/>
    </xf>
    <xf numFmtId="0" fontId="5" fillId="0" borderId="0" xfId="0" applyFont="1" applyBorder="1" applyAlignment="1">
      <alignment vertical="center"/>
    </xf>
    <xf numFmtId="0" fontId="5" fillId="0" borderId="0" xfId="0" applyFont="1" applyBorder="1" applyAlignment="1">
      <alignment horizontal="center" vertical="center"/>
    </xf>
    <xf numFmtId="164" fontId="2" fillId="2" borderId="1" xfId="0" applyNumberFormat="1" applyFont="1" applyFill="1" applyBorder="1" applyAlignment="1">
      <alignment horizontal="center" vertical="center"/>
    </xf>
    <xf numFmtId="165" fontId="2" fillId="2" borderId="1" xfId="1" applyNumberFormat="1" applyFont="1" applyFill="1" applyBorder="1" applyAlignment="1">
      <alignment horizontal="center" vertical="center"/>
    </xf>
    <xf numFmtId="0" fontId="2" fillId="4" borderId="2" xfId="0" applyFont="1" applyFill="1" applyBorder="1" applyAlignment="1">
      <alignment horizontal="center" wrapText="1"/>
    </xf>
    <xf numFmtId="164" fontId="2" fillId="2" borderId="6"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164" fontId="2" fillId="2" borderId="13" xfId="0" applyNumberFormat="1" applyFont="1" applyFill="1" applyBorder="1" applyAlignment="1">
      <alignment horizontal="center" vertical="center"/>
    </xf>
    <xf numFmtId="164" fontId="2" fillId="2" borderId="14" xfId="0" applyNumberFormat="1" applyFont="1" applyFill="1" applyBorder="1" applyAlignment="1">
      <alignment horizontal="center" vertical="center"/>
    </xf>
    <xf numFmtId="164" fontId="2" fillId="2" borderId="15" xfId="0" applyNumberFormat="1" applyFont="1" applyFill="1" applyBorder="1" applyAlignment="1">
      <alignment horizontal="center" vertical="center"/>
    </xf>
    <xf numFmtId="164" fontId="2" fillId="2" borderId="16" xfId="0" applyNumberFormat="1" applyFont="1" applyFill="1" applyBorder="1" applyAlignment="1">
      <alignment horizontal="center" vertical="center"/>
    </xf>
    <xf numFmtId="165" fontId="2" fillId="2" borderId="15" xfId="1" applyNumberFormat="1" applyFont="1" applyFill="1" applyBorder="1" applyAlignment="1">
      <alignment horizontal="center" vertical="center"/>
    </xf>
    <xf numFmtId="165" fontId="2" fillId="2" borderId="16" xfId="1" applyNumberFormat="1" applyFont="1" applyFill="1" applyBorder="1" applyAlignment="1">
      <alignment horizontal="center" vertical="center"/>
    </xf>
    <xf numFmtId="165" fontId="2" fillId="2" borderId="17" xfId="1" applyNumberFormat="1" applyFont="1" applyFill="1" applyBorder="1" applyAlignment="1">
      <alignment horizontal="center" vertical="center"/>
    </xf>
    <xf numFmtId="165" fontId="2" fillId="2" borderId="18" xfId="1" applyNumberFormat="1" applyFont="1" applyFill="1" applyBorder="1" applyAlignment="1">
      <alignment horizontal="center" vertical="center"/>
    </xf>
    <xf numFmtId="165" fontId="2" fillId="2" borderId="19" xfId="1" applyNumberFormat="1" applyFont="1" applyFill="1" applyBorder="1" applyAlignment="1">
      <alignment horizontal="center" vertical="center"/>
    </xf>
    <xf numFmtId="0" fontId="2" fillId="2" borderId="20" xfId="0" applyFont="1" applyFill="1" applyBorder="1" applyAlignment="1">
      <alignment horizontal="center" vertical="center"/>
    </xf>
    <xf numFmtId="0" fontId="2" fillId="2" borderId="8" xfId="0" applyFont="1" applyFill="1" applyBorder="1" applyAlignment="1">
      <alignment horizontal="center" vertical="center"/>
    </xf>
    <xf numFmtId="165" fontId="0" fillId="2" borderId="9" xfId="0" applyNumberForma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4" fillId="7" borderId="5" xfId="0" applyFont="1" applyFill="1" applyBorder="1" applyAlignment="1">
      <alignment wrapText="1"/>
    </xf>
    <xf numFmtId="0" fontId="2" fillId="4" borderId="2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0" fillId="10" borderId="0" xfId="0" applyFill="1"/>
    <xf numFmtId="0" fontId="4" fillId="10" borderId="0" xfId="0" applyFont="1" applyFill="1" applyBorder="1"/>
    <xf numFmtId="0" fontId="0" fillId="10" borderId="0" xfId="0" applyFill="1" applyBorder="1"/>
    <xf numFmtId="0" fontId="7" fillId="0" borderId="0" xfId="0" applyFont="1" applyAlignment="1">
      <alignment horizontal="center" vertical="center" wrapText="1"/>
    </xf>
    <xf numFmtId="0" fontId="7" fillId="0" borderId="0" xfId="0" applyFont="1" applyBorder="1" applyAlignment="1">
      <alignment horizontal="center" vertical="center" wrapText="1"/>
    </xf>
    <xf numFmtId="164" fontId="7" fillId="0" borderId="0" xfId="0" quotePrefix="1"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0" fontId="4" fillId="8" borderId="31" xfId="0" applyFont="1" applyFill="1" applyBorder="1" applyAlignment="1">
      <alignment wrapText="1"/>
    </xf>
    <xf numFmtId="0" fontId="4" fillId="8" borderId="32" xfId="0" applyFont="1" applyFill="1" applyBorder="1"/>
    <xf numFmtId="0" fontId="4" fillId="8" borderId="24" xfId="0" applyFont="1" applyFill="1" applyBorder="1"/>
    <xf numFmtId="0" fontId="4" fillId="8" borderId="33" xfId="0" applyFont="1" applyFill="1" applyBorder="1"/>
    <xf numFmtId="0" fontId="4" fillId="7" borderId="34" xfId="0" applyFont="1" applyFill="1" applyBorder="1" applyAlignment="1">
      <alignment wrapText="1"/>
    </xf>
    <xf numFmtId="0" fontId="4" fillId="7" borderId="16" xfId="0" applyFont="1" applyFill="1" applyBorder="1" applyAlignment="1">
      <alignment wrapText="1"/>
    </xf>
    <xf numFmtId="0" fontId="4" fillId="9" borderId="35" xfId="0" applyFont="1" applyFill="1" applyBorder="1" applyAlignment="1">
      <alignment wrapText="1"/>
    </xf>
    <xf numFmtId="0" fontId="4" fillId="9" borderId="36" xfId="0" applyFont="1" applyFill="1" applyBorder="1" applyAlignment="1">
      <alignment wrapText="1"/>
    </xf>
    <xf numFmtId="0" fontId="4" fillId="9" borderId="18" xfId="0" applyFont="1" applyFill="1" applyBorder="1" applyAlignment="1">
      <alignment horizontal="center"/>
    </xf>
    <xf numFmtId="0" fontId="4" fillId="9" borderId="19" xfId="0" applyFont="1" applyFill="1" applyBorder="1" applyAlignment="1">
      <alignment wrapText="1"/>
    </xf>
    <xf numFmtId="0" fontId="2" fillId="5" borderId="22" xfId="0" applyFont="1" applyFill="1" applyBorder="1" applyAlignment="1">
      <alignment horizontal="center" vertical="center" wrapText="1"/>
    </xf>
    <xf numFmtId="164" fontId="0" fillId="5" borderId="23" xfId="0" applyNumberFormat="1" applyFill="1" applyBorder="1" applyAlignment="1">
      <alignment horizontal="center" vertical="center" wrapText="1"/>
    </xf>
    <xf numFmtId="0" fontId="0" fillId="5" borderId="23" xfId="0" applyFill="1" applyBorder="1" applyAlignment="1">
      <alignment horizontal="center" vertical="center" wrapText="1"/>
    </xf>
    <xf numFmtId="165" fontId="0" fillId="5" borderId="23" xfId="1" applyNumberFormat="1" applyFont="1" applyFill="1" applyBorder="1" applyAlignment="1">
      <alignment horizontal="center" vertical="center" wrapText="1"/>
    </xf>
    <xf numFmtId="0" fontId="0" fillId="5" borderId="24" xfId="0" applyFill="1" applyBorder="1" applyAlignment="1">
      <alignment horizontal="center" vertical="center" wrapText="1"/>
    </xf>
    <xf numFmtId="164" fontId="0" fillId="5" borderId="25" xfId="0" applyNumberFormat="1" applyFill="1" applyBorder="1" applyAlignment="1">
      <alignment horizontal="center" vertical="center" wrapText="1"/>
    </xf>
    <xf numFmtId="0" fontId="2" fillId="5" borderId="26" xfId="0" applyFont="1" applyFill="1" applyBorder="1" applyAlignment="1">
      <alignment horizontal="center" vertical="center" wrapText="1"/>
    </xf>
    <xf numFmtId="164" fontId="0" fillId="5" borderId="0" xfId="0" applyNumberFormat="1" applyFill="1" applyBorder="1" applyAlignment="1">
      <alignment horizontal="center" vertical="center" wrapText="1"/>
    </xf>
    <xf numFmtId="0" fontId="0" fillId="5" borderId="0" xfId="0" applyFill="1" applyBorder="1" applyAlignment="1">
      <alignment horizontal="center" vertical="center" wrapText="1"/>
    </xf>
    <xf numFmtId="165" fontId="0" fillId="5" borderId="0" xfId="1" applyNumberFormat="1" applyFont="1" applyFill="1" applyBorder="1" applyAlignment="1">
      <alignment horizontal="center" vertical="center" wrapText="1"/>
    </xf>
    <xf numFmtId="0" fontId="0" fillId="5" borderId="1" xfId="0" applyFill="1" applyBorder="1" applyAlignment="1">
      <alignment horizontal="center" vertical="center" wrapText="1"/>
    </xf>
    <xf numFmtId="164" fontId="0" fillId="5" borderId="27" xfId="0" applyNumberFormat="1" applyFill="1" applyBorder="1" applyAlignment="1">
      <alignment horizontal="center" vertical="center" wrapText="1"/>
    </xf>
    <xf numFmtId="164" fontId="0" fillId="5" borderId="3" xfId="0" applyNumberFormat="1" applyFill="1" applyBorder="1" applyAlignment="1">
      <alignment horizontal="center" vertical="center" wrapText="1"/>
    </xf>
    <xf numFmtId="0" fontId="2" fillId="5" borderId="28" xfId="0" applyFont="1" applyFill="1" applyBorder="1" applyAlignment="1">
      <alignment horizontal="center" vertical="center" wrapText="1"/>
    </xf>
    <xf numFmtId="0" fontId="0" fillId="5" borderId="29" xfId="0" applyFill="1" applyBorder="1" applyAlignment="1">
      <alignment horizontal="center" vertical="center" wrapText="1"/>
    </xf>
    <xf numFmtId="165" fontId="0" fillId="5" borderId="29" xfId="1" applyNumberFormat="1" applyFont="1" applyFill="1" applyBorder="1" applyAlignment="1">
      <alignment horizontal="center" vertical="center" wrapText="1"/>
    </xf>
    <xf numFmtId="0" fontId="0" fillId="5" borderId="18" xfId="0" applyFill="1" applyBorder="1" applyAlignment="1">
      <alignment horizontal="center" vertical="center" wrapText="1"/>
    </xf>
    <xf numFmtId="164" fontId="0" fillId="5" borderId="29" xfId="0" applyNumberFormat="1" applyFill="1" applyBorder="1" applyAlignment="1">
      <alignment horizontal="center" vertical="center" wrapText="1"/>
    </xf>
    <xf numFmtId="164" fontId="0" fillId="5" borderId="30" xfId="0" applyNumberForma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4" fontId="0" fillId="0" borderId="0" xfId="0" applyNumberFormat="1" applyBorder="1" applyAlignment="1">
      <alignment horizontal="center" vertical="center" wrapText="1"/>
    </xf>
    <xf numFmtId="0" fontId="2" fillId="6" borderId="22" xfId="0" applyFont="1" applyFill="1" applyBorder="1" applyAlignment="1">
      <alignment horizontal="center" vertical="center" wrapText="1"/>
    </xf>
    <xf numFmtId="164" fontId="0" fillId="6" borderId="23" xfId="0" applyNumberFormat="1" applyFill="1" applyBorder="1" applyAlignment="1">
      <alignment horizontal="center" vertical="center" wrapText="1"/>
    </xf>
    <xf numFmtId="0" fontId="0" fillId="6" borderId="23" xfId="0" applyFill="1" applyBorder="1" applyAlignment="1">
      <alignment horizontal="center" vertical="center" wrapText="1"/>
    </xf>
    <xf numFmtId="165" fontId="0" fillId="6" borderId="23" xfId="1" applyNumberFormat="1" applyFont="1" applyFill="1" applyBorder="1" applyAlignment="1">
      <alignment horizontal="center" vertical="center" wrapText="1"/>
    </xf>
    <xf numFmtId="0" fontId="0" fillId="6" borderId="24" xfId="0" applyFill="1" applyBorder="1" applyAlignment="1">
      <alignment horizontal="center" vertical="center" wrapText="1"/>
    </xf>
    <xf numFmtId="164" fontId="0" fillId="6" borderId="25" xfId="0" applyNumberFormat="1" applyFill="1" applyBorder="1" applyAlignment="1">
      <alignment horizontal="center" vertical="center" wrapText="1"/>
    </xf>
    <xf numFmtId="0" fontId="2" fillId="6" borderId="26" xfId="0" applyFont="1" applyFill="1" applyBorder="1" applyAlignment="1">
      <alignment horizontal="center" vertical="center" wrapText="1"/>
    </xf>
    <xf numFmtId="164" fontId="0" fillId="6" borderId="0" xfId="0" applyNumberFormat="1" applyFill="1" applyBorder="1" applyAlignment="1">
      <alignment horizontal="center" vertical="center" wrapText="1"/>
    </xf>
    <xf numFmtId="0" fontId="0" fillId="6" borderId="0" xfId="0" applyFill="1" applyBorder="1" applyAlignment="1">
      <alignment horizontal="center" vertical="center" wrapText="1"/>
    </xf>
    <xf numFmtId="165" fontId="0" fillId="6" borderId="0" xfId="1" applyNumberFormat="1" applyFont="1" applyFill="1" applyBorder="1" applyAlignment="1">
      <alignment horizontal="center" vertical="center" wrapText="1"/>
    </xf>
    <xf numFmtId="0" fontId="0" fillId="6" borderId="1" xfId="0" applyFill="1" applyBorder="1" applyAlignment="1">
      <alignment horizontal="center" vertical="center" wrapText="1"/>
    </xf>
    <xf numFmtId="164" fontId="0" fillId="6" borderId="27" xfId="0" applyNumberFormat="1" applyFill="1" applyBorder="1" applyAlignment="1">
      <alignment horizontal="center" vertical="center" wrapText="1"/>
    </xf>
    <xf numFmtId="0" fontId="2" fillId="6" borderId="28" xfId="0" applyFont="1" applyFill="1" applyBorder="1" applyAlignment="1">
      <alignment horizontal="center" vertical="center" wrapText="1"/>
    </xf>
    <xf numFmtId="0" fontId="0" fillId="6" borderId="29" xfId="0" applyFill="1" applyBorder="1" applyAlignment="1">
      <alignment horizontal="center" vertical="center" wrapText="1"/>
    </xf>
    <xf numFmtId="165" fontId="0" fillId="6" borderId="29" xfId="1" applyNumberFormat="1" applyFont="1" applyFill="1" applyBorder="1" applyAlignment="1">
      <alignment horizontal="center" vertical="center" wrapText="1"/>
    </xf>
    <xf numFmtId="0" fontId="0" fillId="6" borderId="18" xfId="0" applyFill="1" applyBorder="1" applyAlignment="1">
      <alignment horizontal="center" vertical="center" wrapText="1"/>
    </xf>
    <xf numFmtId="164" fontId="0" fillId="6" borderId="29" xfId="0" applyNumberFormat="1" applyFill="1" applyBorder="1" applyAlignment="1">
      <alignment horizontal="center" vertical="center" wrapText="1"/>
    </xf>
    <xf numFmtId="0" fontId="0" fillId="6" borderId="30" xfId="0" applyFill="1" applyBorder="1" applyAlignment="1">
      <alignment horizontal="center" vertical="center" wrapText="1"/>
    </xf>
    <xf numFmtId="0" fontId="2" fillId="0" borderId="0" xfId="0" applyFont="1" applyFill="1" applyBorder="1" applyAlignment="1">
      <alignment horizontal="center" vertical="center" wrapText="1"/>
    </xf>
    <xf numFmtId="164" fontId="0" fillId="0" borderId="0" xfId="0" applyNumberFormat="1" applyFill="1" applyBorder="1" applyAlignment="1">
      <alignment horizontal="center" vertical="center" wrapText="1"/>
    </xf>
    <xf numFmtId="0" fontId="2" fillId="3" borderId="22" xfId="0" applyFont="1" applyFill="1" applyBorder="1" applyAlignment="1">
      <alignment horizontal="center" vertical="center" wrapText="1"/>
    </xf>
    <xf numFmtId="164" fontId="0" fillId="3" borderId="23" xfId="0" applyNumberFormat="1" applyFill="1" applyBorder="1" applyAlignment="1">
      <alignment horizontal="center" vertical="center" wrapText="1"/>
    </xf>
    <xf numFmtId="0" fontId="0" fillId="3" borderId="23" xfId="0" applyFill="1" applyBorder="1" applyAlignment="1">
      <alignment horizontal="center" vertical="center" wrapText="1"/>
    </xf>
    <xf numFmtId="165" fontId="0" fillId="3" borderId="23" xfId="1" applyNumberFormat="1" applyFont="1" applyFill="1" applyBorder="1" applyAlignment="1">
      <alignment horizontal="center" vertical="center" wrapText="1"/>
    </xf>
    <xf numFmtId="2" fontId="0" fillId="3" borderId="24" xfId="0" applyNumberFormat="1" applyFill="1" applyBorder="1" applyAlignment="1">
      <alignment horizontal="center" vertical="center" wrapText="1"/>
    </xf>
    <xf numFmtId="164" fontId="0" fillId="3" borderId="25" xfId="0" applyNumberFormat="1" applyFill="1" applyBorder="1" applyAlignment="1">
      <alignment horizontal="center" vertical="center" wrapText="1"/>
    </xf>
    <xf numFmtId="0" fontId="2" fillId="3" borderId="26" xfId="0" applyFont="1" applyFill="1" applyBorder="1" applyAlignment="1">
      <alignment horizontal="center" vertical="center" wrapText="1"/>
    </xf>
    <xf numFmtId="164" fontId="0" fillId="3" borderId="0" xfId="0" applyNumberFormat="1" applyFill="1" applyBorder="1" applyAlignment="1">
      <alignment horizontal="center" vertical="center" wrapText="1"/>
    </xf>
    <xf numFmtId="0" fontId="0" fillId="3" borderId="0" xfId="0" applyFill="1" applyBorder="1" applyAlignment="1">
      <alignment horizontal="center" vertical="center" wrapText="1"/>
    </xf>
    <xf numFmtId="165" fontId="0" fillId="3" borderId="0" xfId="1" applyNumberFormat="1" applyFont="1" applyFill="1" applyBorder="1" applyAlignment="1">
      <alignment horizontal="center" vertical="center" wrapText="1"/>
    </xf>
    <xf numFmtId="2" fontId="0" fillId="3" borderId="1" xfId="0" applyNumberFormat="1" applyFill="1" applyBorder="1" applyAlignment="1">
      <alignment horizontal="center" vertical="center" wrapText="1"/>
    </xf>
    <xf numFmtId="164" fontId="0" fillId="3" borderId="27" xfId="0" applyNumberFormat="1" applyFill="1" applyBorder="1" applyAlignment="1">
      <alignment horizontal="center" vertical="center" wrapText="1"/>
    </xf>
    <xf numFmtId="0" fontId="0" fillId="3" borderId="2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165" fontId="0" fillId="3" borderId="29" xfId="1" applyNumberFormat="1" applyFont="1" applyFill="1" applyBorder="1" applyAlignment="1">
      <alignment horizontal="center" vertical="center" wrapText="1"/>
    </xf>
    <xf numFmtId="0" fontId="0" fillId="3" borderId="18" xfId="0" applyFill="1" applyBorder="1" applyAlignment="1">
      <alignment horizontal="center" vertical="center" wrapText="1"/>
    </xf>
    <xf numFmtId="164" fontId="0" fillId="3" borderId="29" xfId="0" applyNumberFormat="1" applyFill="1" applyBorder="1" applyAlignment="1">
      <alignment horizontal="center" vertical="center" wrapText="1"/>
    </xf>
    <xf numFmtId="164" fontId="0" fillId="3" borderId="30" xfId="0" applyNumberFormat="1" applyFill="1" applyBorder="1" applyAlignment="1">
      <alignment horizontal="center" vertical="center" wrapText="1"/>
    </xf>
    <xf numFmtId="0" fontId="5" fillId="0" borderId="0" xfId="0" applyFont="1" applyBorder="1" applyAlignment="1">
      <alignment vertical="top" wrapText="1"/>
    </xf>
    <xf numFmtId="0" fontId="0" fillId="0" borderId="1" xfId="0" applyBorder="1" applyAlignment="1">
      <alignment horizontal="center"/>
    </xf>
    <xf numFmtId="0" fontId="0" fillId="0" borderId="1" xfId="0" applyBorder="1" applyAlignment="1">
      <alignment horizontal="left" wrapText="1"/>
    </xf>
    <xf numFmtId="0" fontId="0" fillId="0" borderId="1" xfId="0" applyBorder="1" applyAlignment="1">
      <alignment vertical="center"/>
    </xf>
    <xf numFmtId="0" fontId="0" fillId="0" borderId="1" xfId="0" applyBorder="1" applyAlignment="1">
      <alignment wrapText="1"/>
    </xf>
  </cellXfs>
  <cellStyles count="2">
    <cellStyle name="Normal" xfId="0" builtinId="0"/>
    <cellStyle name="Porcentaje" xfId="1" builtinId="5"/>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76200</xdr:rowOff>
    </xdr:from>
    <xdr:to>
      <xdr:col>1</xdr:col>
      <xdr:colOff>635793</xdr:colOff>
      <xdr:row>6</xdr:row>
      <xdr:rowOff>159543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76200"/>
          <a:ext cx="1226343" cy="12263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857249</xdr:colOff>
      <xdr:row>0</xdr:row>
      <xdr:rowOff>119063</xdr:rowOff>
    </xdr:from>
    <xdr:to>
      <xdr:col>5</xdr:col>
      <xdr:colOff>500061</xdr:colOff>
      <xdr:row>1</xdr:row>
      <xdr:rowOff>369094</xdr:rowOff>
    </xdr:to>
    <xdr:sp macro="" textlink="">
      <xdr:nvSpPr>
        <xdr:cNvPr id="3" name="2 Flecha doblada hacia arriba"/>
        <xdr:cNvSpPr/>
      </xdr:nvSpPr>
      <xdr:spPr>
        <a:xfrm flipV="1">
          <a:off x="3190874" y="119063"/>
          <a:ext cx="1762125" cy="690562"/>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17</xdr:col>
      <xdr:colOff>142875</xdr:colOff>
      <xdr:row>1</xdr:row>
      <xdr:rowOff>428625</xdr:rowOff>
    </xdr:from>
    <xdr:to>
      <xdr:col>17</xdr:col>
      <xdr:colOff>619125</xdr:colOff>
      <xdr:row>4</xdr:row>
      <xdr:rowOff>357186</xdr:rowOff>
    </xdr:to>
    <xdr:sp macro="" textlink="">
      <xdr:nvSpPr>
        <xdr:cNvPr id="5" name="4 Flecha abajo"/>
        <xdr:cNvSpPr/>
      </xdr:nvSpPr>
      <xdr:spPr>
        <a:xfrm>
          <a:off x="13239750" y="869156"/>
          <a:ext cx="476250" cy="125015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985836</xdr:colOff>
      <xdr:row>5</xdr:row>
      <xdr:rowOff>69057</xdr:rowOff>
    </xdr:from>
    <xdr:to>
      <xdr:col>4</xdr:col>
      <xdr:colOff>1762125</xdr:colOff>
      <xdr:row>5</xdr:row>
      <xdr:rowOff>690563</xdr:rowOff>
    </xdr:to>
    <xdr:sp macro="" textlink="">
      <xdr:nvSpPr>
        <xdr:cNvPr id="6" name="5 Flecha doblada hacia arriba"/>
        <xdr:cNvSpPr/>
      </xdr:nvSpPr>
      <xdr:spPr>
        <a:xfrm flipV="1">
          <a:off x="3319461" y="2271713"/>
          <a:ext cx="776289" cy="62150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9</xdr:col>
      <xdr:colOff>535781</xdr:colOff>
      <xdr:row>1</xdr:row>
      <xdr:rowOff>59531</xdr:rowOff>
    </xdr:from>
    <xdr:to>
      <xdr:col>12</xdr:col>
      <xdr:colOff>207168</xdr:colOff>
      <xdr:row>3</xdr:row>
      <xdr:rowOff>404811</xdr:rowOff>
    </xdr:to>
    <xdr:pic>
      <xdr:nvPicPr>
        <xdr:cNvPr id="7" name="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4000" y="59531"/>
          <a:ext cx="1226343" cy="12263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9"/>
  <sheetViews>
    <sheetView tabSelected="1" workbookViewId="0">
      <selection activeCell="F10" sqref="F10"/>
    </sheetView>
  </sheetViews>
  <sheetFormatPr baseColWidth="10" defaultRowHeight="15" x14ac:dyDescent="0.25"/>
  <cols>
    <col min="3" max="3" width="6.28515625" customWidth="1"/>
    <col min="4" max="4" width="63.85546875" customWidth="1"/>
    <col min="5" max="5" width="42.5703125" customWidth="1"/>
  </cols>
  <sheetData>
    <row r="1" spans="3:5" x14ac:dyDescent="0.25">
      <c r="C1" s="5" t="s">
        <v>107</v>
      </c>
      <c r="D1" s="5" t="s">
        <v>108</v>
      </c>
      <c r="E1" s="5" t="s">
        <v>114</v>
      </c>
    </row>
    <row r="2" spans="3:5" x14ac:dyDescent="0.25">
      <c r="C2" s="126">
        <v>1</v>
      </c>
      <c r="D2" s="127" t="s">
        <v>106</v>
      </c>
      <c r="E2" s="124" t="s">
        <v>118</v>
      </c>
    </row>
    <row r="3" spans="3:5" x14ac:dyDescent="0.25">
      <c r="C3" s="126">
        <v>2</v>
      </c>
      <c r="D3" s="127" t="s">
        <v>109</v>
      </c>
      <c r="E3" s="124" t="s">
        <v>119</v>
      </c>
    </row>
    <row r="4" spans="3:5" x14ac:dyDescent="0.25">
      <c r="C4" s="126">
        <v>3</v>
      </c>
      <c r="D4" s="127" t="s">
        <v>110</v>
      </c>
      <c r="E4" s="124" t="s">
        <v>120</v>
      </c>
    </row>
    <row r="5" spans="3:5" x14ac:dyDescent="0.25">
      <c r="C5" s="126">
        <v>4</v>
      </c>
      <c r="D5" s="127" t="s">
        <v>113</v>
      </c>
      <c r="E5" s="124" t="s">
        <v>121</v>
      </c>
    </row>
    <row r="6" spans="3:5" x14ac:dyDescent="0.25">
      <c r="C6" s="126">
        <v>5</v>
      </c>
      <c r="D6" s="127" t="s">
        <v>122</v>
      </c>
      <c r="E6" s="124" t="s">
        <v>123</v>
      </c>
    </row>
    <row r="7" spans="3:5" ht="45" x14ac:dyDescent="0.25">
      <c r="C7" s="126">
        <v>6</v>
      </c>
      <c r="D7" s="125" t="s">
        <v>124</v>
      </c>
      <c r="E7" s="124"/>
    </row>
    <row r="8" spans="3:5" ht="45" x14ac:dyDescent="0.25">
      <c r="C8" s="126">
        <v>7</v>
      </c>
      <c r="D8" s="127" t="s">
        <v>125</v>
      </c>
      <c r="E8" s="124"/>
    </row>
    <row r="9" spans="3:5" ht="30" x14ac:dyDescent="0.25">
      <c r="C9" s="126">
        <v>8</v>
      </c>
      <c r="D9" s="127" t="s">
        <v>126</v>
      </c>
      <c r="E9" s="12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S225"/>
  <sheetViews>
    <sheetView topLeftCell="E1" zoomScale="80" zoomScaleNormal="80" workbookViewId="0">
      <pane xSplit="1" ySplit="6" topLeftCell="F38" activePane="bottomRight" state="frozen"/>
      <selection activeCell="M38" sqref="M38"/>
      <selection pane="topRight" activeCell="M38" sqref="M38"/>
      <selection pane="bottomLeft" activeCell="M38" sqref="M38"/>
      <selection pane="bottomRight" activeCell="J13" sqref="J13:M45"/>
    </sheetView>
  </sheetViews>
  <sheetFormatPr baseColWidth="10" defaultRowHeight="15" x14ac:dyDescent="0.25"/>
  <cols>
    <col min="2" max="4" width="7.85546875" customWidth="1"/>
    <col min="5" max="5" width="31.85546875" customWidth="1"/>
    <col min="6" max="6" width="9.7109375" customWidth="1"/>
    <col min="7" max="7" width="11.5703125" customWidth="1"/>
    <col min="8" max="8" width="10" customWidth="1"/>
    <col min="9" max="9" width="19.85546875" customWidth="1"/>
    <col min="10" max="12" width="7.7109375" customWidth="1"/>
    <col min="13" max="13" width="9.42578125" customWidth="1"/>
    <col min="14" max="14" width="8.42578125" customWidth="1"/>
    <col min="15" max="15" width="12.42578125" customWidth="1"/>
    <col min="16" max="16" width="10.140625" customWidth="1"/>
    <col min="17" max="17" width="14.85546875" customWidth="1"/>
    <col min="18" max="18" width="11" customWidth="1"/>
    <col min="19" max="19" width="9" customWidth="1"/>
    <col min="20" max="20" width="11" customWidth="1"/>
    <col min="21" max="23" width="9.7109375" customWidth="1"/>
    <col min="24" max="24" width="12.28515625" customWidth="1"/>
    <col min="28" max="28" width="12.7109375" bestFit="1" customWidth="1"/>
    <col min="30" max="30" width="40" customWidth="1"/>
    <col min="31" max="31" width="12.7109375" bestFit="1" customWidth="1"/>
  </cols>
  <sheetData>
    <row r="1" spans="5:45" ht="34.5" customHeight="1" thickBot="1" x14ac:dyDescent="0.3">
      <c r="E1" s="16" t="s">
        <v>91</v>
      </c>
      <c r="J1" s="42"/>
      <c r="K1" s="42"/>
      <c r="L1" s="42"/>
      <c r="M1" s="42"/>
      <c r="N1" s="42"/>
      <c r="U1" s="35" t="s">
        <v>111</v>
      </c>
      <c r="V1" s="36"/>
      <c r="W1" s="37"/>
      <c r="X1" s="38" t="s">
        <v>112</v>
      </c>
    </row>
    <row r="2" spans="5:45" ht="34.5" customHeight="1" thickBot="1" x14ac:dyDescent="0.3">
      <c r="E2" s="1"/>
      <c r="F2" s="11"/>
      <c r="G2" s="11"/>
      <c r="H2" s="11"/>
      <c r="I2" s="11"/>
      <c r="J2" s="43"/>
      <c r="K2" s="44"/>
      <c r="L2" s="44"/>
      <c r="M2" s="2"/>
      <c r="N2" s="44"/>
      <c r="R2" s="17" t="s">
        <v>103</v>
      </c>
      <c r="S2" s="1"/>
      <c r="T2" s="22" t="s">
        <v>40</v>
      </c>
      <c r="U2" s="23">
        <f>+H5*0.57/4</f>
        <v>3847.4999999999995</v>
      </c>
      <c r="V2" s="21">
        <f>+H5*0.15/4</f>
        <v>1012.5</v>
      </c>
      <c r="W2" s="24">
        <f>+H5*0.28/9</f>
        <v>840.00000000000011</v>
      </c>
      <c r="X2" s="32">
        <f>+U2*4+V2*4+W2*9</f>
        <v>27000</v>
      </c>
      <c r="Y2" s="1"/>
      <c r="Z2" s="1"/>
      <c r="AA2" s="1"/>
      <c r="AB2" s="1"/>
      <c r="AC2" s="1"/>
      <c r="AD2" s="1"/>
      <c r="AE2" s="1"/>
      <c r="AF2" s="1"/>
      <c r="AG2" s="1"/>
      <c r="AH2" s="1"/>
      <c r="AI2" s="1"/>
      <c r="AJ2" s="1"/>
      <c r="AK2" s="1"/>
      <c r="AL2" s="1"/>
      <c r="AM2" s="1"/>
      <c r="AN2" s="1"/>
      <c r="AO2" s="1"/>
      <c r="AP2" s="1"/>
      <c r="AQ2" s="1"/>
      <c r="AR2" s="1"/>
      <c r="AS2" s="1"/>
    </row>
    <row r="3" spans="5:45" ht="34.5" customHeight="1" x14ac:dyDescent="0.3">
      <c r="E3" s="49" t="s">
        <v>96</v>
      </c>
      <c r="F3" s="13">
        <v>3500</v>
      </c>
      <c r="G3" s="50"/>
      <c r="H3" s="51"/>
      <c r="I3" s="52"/>
      <c r="J3" s="42"/>
      <c r="K3" s="44"/>
      <c r="L3" s="44"/>
      <c r="M3" s="2"/>
      <c r="N3" s="44"/>
      <c r="R3" s="10"/>
      <c r="S3" s="1"/>
      <c r="T3" s="22" t="s">
        <v>41</v>
      </c>
      <c r="U3" s="25">
        <f>+SUM(U7:U172)</f>
        <v>3673.3964999999998</v>
      </c>
      <c r="V3" s="18">
        <f>+SUM(V7:V172)</f>
        <v>963.60899999999992</v>
      </c>
      <c r="W3" s="26">
        <f>+SUM(W7:W172)</f>
        <v>1277.0264999999999</v>
      </c>
      <c r="X3" s="33">
        <f>+U3*4+V3*4+W3*9</f>
        <v>30041.260499999997</v>
      </c>
      <c r="Y3" s="1"/>
      <c r="Z3" s="1"/>
      <c r="AA3" s="1"/>
      <c r="AB3" s="1"/>
      <c r="AC3" s="1"/>
      <c r="AD3" s="1" t="str">
        <f>CHAR(10)</f>
        <v xml:space="preserve">
</v>
      </c>
      <c r="AE3" s="1"/>
      <c r="AF3" s="1"/>
      <c r="AG3" s="1"/>
      <c r="AH3" s="1"/>
      <c r="AI3" s="1"/>
      <c r="AJ3" s="1"/>
      <c r="AK3" s="1"/>
      <c r="AL3" s="1"/>
      <c r="AM3" s="1"/>
      <c r="AN3" s="1"/>
      <c r="AO3" s="1"/>
      <c r="AP3" s="1"/>
      <c r="AQ3" s="1"/>
      <c r="AR3" s="1"/>
      <c r="AS3" s="1"/>
    </row>
    <row r="4" spans="5:45" ht="34.5" customHeight="1" x14ac:dyDescent="0.3">
      <c r="E4" s="53" t="s">
        <v>97</v>
      </c>
      <c r="F4" s="14">
        <v>3</v>
      </c>
      <c r="G4" s="39" t="s">
        <v>93</v>
      </c>
      <c r="H4" s="12">
        <f>+F3*F4-1500</f>
        <v>9000</v>
      </c>
      <c r="I4" s="54" t="s">
        <v>94</v>
      </c>
      <c r="J4" s="42"/>
      <c r="K4" s="44"/>
      <c r="L4" s="44"/>
      <c r="M4" s="2"/>
      <c r="N4" s="44"/>
      <c r="R4" s="1"/>
      <c r="S4" s="1"/>
      <c r="T4" s="22" t="s">
        <v>101</v>
      </c>
      <c r="U4" s="27">
        <v>0.56999999999999995</v>
      </c>
      <c r="V4" s="19">
        <v>0.15</v>
      </c>
      <c r="W4" s="28">
        <v>0.28000000000000003</v>
      </c>
      <c r="X4" s="33"/>
      <c r="Y4" s="1"/>
      <c r="Z4" s="1"/>
      <c r="AA4" s="1"/>
      <c r="AB4" s="1"/>
      <c r="AC4" s="1"/>
      <c r="AD4" s="1"/>
      <c r="AE4" s="1"/>
      <c r="AF4" s="1"/>
      <c r="AG4" s="1"/>
      <c r="AH4" s="1"/>
      <c r="AI4" s="1"/>
      <c r="AJ4" s="1"/>
      <c r="AK4" s="1"/>
      <c r="AL4" s="1"/>
      <c r="AM4" s="1"/>
      <c r="AN4" s="1"/>
      <c r="AO4" s="1"/>
      <c r="AP4" s="1"/>
      <c r="AQ4" s="1"/>
      <c r="AR4" s="1"/>
      <c r="AS4" s="1"/>
    </row>
    <row r="5" spans="5:45" ht="34.5" customHeight="1" thickBot="1" x14ac:dyDescent="0.35">
      <c r="E5" s="55" t="s">
        <v>92</v>
      </c>
      <c r="F5" s="15">
        <v>3</v>
      </c>
      <c r="G5" s="56" t="s">
        <v>93</v>
      </c>
      <c r="H5" s="57">
        <f>+H4*F5</f>
        <v>27000</v>
      </c>
      <c r="I5" s="58" t="s">
        <v>95</v>
      </c>
      <c r="J5" s="42"/>
      <c r="K5" s="44"/>
      <c r="L5" s="44"/>
      <c r="M5" s="2"/>
      <c r="N5" s="44"/>
      <c r="O5" s="1"/>
      <c r="P5" s="1"/>
      <c r="Q5" s="1"/>
      <c r="R5" s="1"/>
      <c r="S5" s="1"/>
      <c r="T5" s="22" t="s">
        <v>102</v>
      </c>
      <c r="U5" s="29">
        <f>+IF($X$3&lt;&gt;0,U3*4/$X$3,"")</f>
        <v>0.48911349775086838</v>
      </c>
      <c r="V5" s="30">
        <f>+IF($X$3&lt;&gt;0,V3*4/$X$3,"")</f>
        <v>0.12830473608123069</v>
      </c>
      <c r="W5" s="31">
        <f>+IF($X$3&lt;&gt;0,W3*9/$X$3,"")</f>
        <v>0.38258176616790102</v>
      </c>
      <c r="X5" s="34">
        <f>+IF(X3&lt;&gt;0,U5+V5+W5,0)</f>
        <v>1</v>
      </c>
      <c r="Y5" s="1"/>
      <c r="Z5" s="1"/>
      <c r="AA5" s="1"/>
      <c r="AB5" s="1"/>
      <c r="AC5" s="1"/>
      <c r="AD5" s="1"/>
      <c r="AE5" s="1"/>
      <c r="AF5" s="1"/>
      <c r="AG5" s="1"/>
      <c r="AH5" s="1"/>
      <c r="AI5" s="1"/>
      <c r="AJ5" s="1"/>
      <c r="AK5" s="1"/>
      <c r="AL5" s="1"/>
      <c r="AM5" s="1"/>
      <c r="AN5" s="1"/>
      <c r="AO5" s="1"/>
      <c r="AP5" s="1"/>
      <c r="AQ5" s="1"/>
      <c r="AR5" s="1"/>
      <c r="AS5" s="1"/>
    </row>
    <row r="6" spans="5:45" ht="57" customHeight="1" thickBot="1" x14ac:dyDescent="0.3">
      <c r="E6" s="123" t="s">
        <v>117</v>
      </c>
      <c r="F6" s="6"/>
      <c r="G6" s="6" t="s">
        <v>39</v>
      </c>
      <c r="H6" s="6" t="s">
        <v>84</v>
      </c>
      <c r="I6" s="6" t="s">
        <v>116</v>
      </c>
      <c r="J6" s="41" t="s">
        <v>0</v>
      </c>
      <c r="K6" s="41" t="s">
        <v>2</v>
      </c>
      <c r="L6" s="41" t="s">
        <v>3</v>
      </c>
      <c r="M6" s="40" t="s">
        <v>55</v>
      </c>
      <c r="N6" s="40" t="s">
        <v>83</v>
      </c>
      <c r="O6" s="40" t="s">
        <v>58</v>
      </c>
      <c r="P6" s="40" t="s">
        <v>62</v>
      </c>
      <c r="Q6" s="40" t="s">
        <v>115</v>
      </c>
      <c r="R6" s="40" t="s">
        <v>104</v>
      </c>
      <c r="S6" s="40" t="s">
        <v>105</v>
      </c>
      <c r="T6" s="40" t="s">
        <v>82</v>
      </c>
      <c r="U6" s="6" t="s">
        <v>0</v>
      </c>
      <c r="V6" s="6" t="s">
        <v>2</v>
      </c>
      <c r="W6" s="6" t="s">
        <v>3</v>
      </c>
      <c r="X6" s="20"/>
      <c r="Y6" s="1"/>
      <c r="Z6" s="1"/>
      <c r="AA6" s="1"/>
      <c r="AB6" s="1"/>
      <c r="AC6" s="1"/>
      <c r="AD6" s="1"/>
      <c r="AE6" s="1"/>
      <c r="AF6" s="1"/>
      <c r="AG6" s="1"/>
      <c r="AH6" s="1"/>
      <c r="AI6" s="1"/>
      <c r="AJ6" s="1"/>
      <c r="AK6" s="1"/>
      <c r="AL6" s="1"/>
      <c r="AM6" s="1"/>
      <c r="AN6" s="1"/>
      <c r="AO6" s="1"/>
      <c r="AP6" s="1"/>
      <c r="AQ6" s="1"/>
      <c r="AR6" s="1"/>
      <c r="AS6" s="1"/>
    </row>
    <row r="7" spans="5:45" ht="27" customHeight="1" x14ac:dyDescent="0.25">
      <c r="E7" s="45" t="s">
        <v>76</v>
      </c>
      <c r="F7" s="59" t="s">
        <v>23</v>
      </c>
      <c r="G7" s="60">
        <f>(+J7*4+K7*4+L7*9)*N7/100</f>
        <v>62.019166666666678</v>
      </c>
      <c r="H7" s="61">
        <f>+J7+K7+L7</f>
        <v>94.300000000000011</v>
      </c>
      <c r="I7" s="61" t="s">
        <v>24</v>
      </c>
      <c r="J7" s="61">
        <v>85.7</v>
      </c>
      <c r="K7" s="61">
        <v>5.7</v>
      </c>
      <c r="L7" s="61">
        <v>2.9</v>
      </c>
      <c r="M7" s="62">
        <f>+L7/(L7+K7+J7)</f>
        <v>3.0752916224814422E-2</v>
      </c>
      <c r="N7" s="60">
        <f>190/4/3</f>
        <v>15.833333333333334</v>
      </c>
      <c r="O7" s="61" t="str">
        <f>IF(R7&lt;&gt;"",CONCATENATE("cucharadas soperas rebosantes (3 por taza, total ",N7*S7," gr)"),"cucharadas soperas rebosantes (3 por taza)")</f>
        <v>cucharadas soperas rebosantes (3 por taza)</v>
      </c>
      <c r="P7" s="61"/>
      <c r="Q7" s="61" t="s">
        <v>86</v>
      </c>
      <c r="R7" s="63"/>
      <c r="S7" s="60" t="str">
        <f>+IF(R7&lt;&gt;"",R7*$F$5,"")</f>
        <v/>
      </c>
      <c r="T7" s="60" t="str">
        <f>+IF(S7&lt;&gt;"",S7*N7,"")</f>
        <v/>
      </c>
      <c r="U7" s="60" t="str">
        <f>+IF(T7&lt;&gt;"",T7*J7/100,"")</f>
        <v/>
      </c>
      <c r="V7" s="60" t="str">
        <f>+IF(T7&lt;&gt;"",T7*K7/100,"")</f>
        <v/>
      </c>
      <c r="W7" s="60" t="str">
        <f>+IF(T7&lt;&gt;"",T7*L7/100,"")</f>
        <v/>
      </c>
      <c r="X7" s="64"/>
      <c r="Y7" s="3" t="str">
        <f>IF(S7&lt;&gt;"",CONCATENATE("&lt;checklist/&gt;&amp;nbsp;&amp;nbsp;&amp;nbsp;&amp;nbsp;&amp;nbsp;",I7,": ",S7, " ",O7,P7,$Y$4, " ''(",Q7,")''&lt;/span&gt;&lt;br&gt;&lt;br&gt;"),"")</f>
        <v/>
      </c>
      <c r="Z7" s="3" t="str">
        <f t="shared" ref="Z7:Z33" si="0">+CONCATENATE(Z6,IF(Y7&lt;&gt;"",CONCATENATE(Y7,CHAR(10)),""))</f>
        <v/>
      </c>
      <c r="AA7" s="3"/>
      <c r="AB7" s="3"/>
      <c r="AC7" s="3"/>
      <c r="AD7" s="3"/>
      <c r="AE7" s="3"/>
      <c r="AF7" s="1"/>
      <c r="AG7" s="1"/>
      <c r="AH7" s="1"/>
      <c r="AI7" s="1"/>
      <c r="AJ7" s="1"/>
      <c r="AK7" s="1"/>
      <c r="AL7" s="1"/>
      <c r="AM7" s="1"/>
      <c r="AN7" s="1"/>
      <c r="AO7" s="1"/>
      <c r="AP7" s="1"/>
      <c r="AQ7" s="1"/>
      <c r="AR7" s="1"/>
      <c r="AS7" s="1"/>
    </row>
    <row r="8" spans="5:45" ht="27" customHeight="1" thickBot="1" x14ac:dyDescent="0.3">
      <c r="E8" s="45" t="str">
        <f>CONCATENATE("==Lista de compras personalizada==")</f>
        <v>==Lista de compras personalizada==</v>
      </c>
      <c r="F8" s="65"/>
      <c r="G8" s="66">
        <f>(+J8*4+K8*4+L8*9)*N8/100</f>
        <v>1954.0499999999997</v>
      </c>
      <c r="H8" s="67">
        <f>+J8+K8+L8</f>
        <v>94.2</v>
      </c>
      <c r="I8" s="67" t="s">
        <v>11</v>
      </c>
      <c r="J8" s="67">
        <v>53.7</v>
      </c>
      <c r="K8" s="67">
        <v>4.2</v>
      </c>
      <c r="L8" s="67">
        <v>36.299999999999997</v>
      </c>
      <c r="M8" s="68">
        <f>+L8/(L8+K8+J8)</f>
        <v>0.38535031847133755</v>
      </c>
      <c r="N8" s="67">
        <v>350</v>
      </c>
      <c r="O8" s="67" t="str">
        <f>IF(S8=1,"tarro 350 gr","tarros 350 gr")</f>
        <v>tarros 350 gr</v>
      </c>
      <c r="P8" s="67"/>
      <c r="Q8" s="67" t="s">
        <v>43</v>
      </c>
      <c r="R8" s="69">
        <v>1</v>
      </c>
      <c r="S8" s="66">
        <f>+IF(R8&lt;&gt;"",R8*$F$5,"")</f>
        <v>3</v>
      </c>
      <c r="T8" s="66">
        <f>+IF(S8&lt;&gt;"",S8*N8,"")</f>
        <v>1050</v>
      </c>
      <c r="U8" s="66">
        <f>+IF(T8&lt;&gt;"",T8*J8/100,"")</f>
        <v>563.85</v>
      </c>
      <c r="V8" s="66">
        <f>+IF(T8&lt;&gt;"",T8*K8/100,"")</f>
        <v>44.1</v>
      </c>
      <c r="W8" s="66">
        <f>+IF(T8&lt;&gt;"",T8*L8/100,"")</f>
        <v>381.15</v>
      </c>
      <c r="X8" s="70"/>
      <c r="Y8" s="3" t="str">
        <f>IF(S8&lt;&gt;"",CONCATENATE("&lt;checklist/&gt;&amp;nbsp;&amp;nbsp;&amp;nbsp;&amp;nbsp;&amp;nbsp;",I8,": ",S8, " ",O8,P8,$Y$4, " ''(",Q8,")''&lt;/span&gt;&lt;br&gt;&lt;br&gt;"),"")</f>
        <v>&lt;checklist/&gt;&amp;nbsp;&amp;nbsp;&amp;nbsp;&amp;nbsp;&amp;nbsp;Crema de avellanas : 3 tarros 350 gr ''(Líder)''&lt;/span&gt;&lt;br&gt;&lt;br&gt;</v>
      </c>
      <c r="Z8" s="3" t="str">
        <f t="shared" si="0"/>
        <v xml:space="preserve">&lt;checklist/&gt;&amp;nbsp;&amp;nbsp;&amp;nbsp;&amp;nbsp;&amp;nbsp;Crema de avellanas : 3 tarros 350 gr ''(Líder)''&lt;/span&gt;&lt;br&gt;&lt;br&gt;
</v>
      </c>
      <c r="AA8" s="3"/>
      <c r="AB8" s="3"/>
      <c r="AC8" s="3"/>
      <c r="AD8" s="3"/>
      <c r="AE8" s="3"/>
      <c r="AF8" s="1"/>
      <c r="AG8" s="1"/>
      <c r="AH8" s="1"/>
      <c r="AI8" s="1"/>
      <c r="AJ8" s="1"/>
      <c r="AK8" s="1"/>
      <c r="AL8" s="1"/>
      <c r="AM8" s="1"/>
      <c r="AN8" s="1"/>
      <c r="AO8" s="1"/>
      <c r="AP8" s="1"/>
      <c r="AQ8" s="1"/>
      <c r="AR8" s="1"/>
      <c r="AS8" s="1"/>
    </row>
    <row r="9" spans="5:45" ht="27" customHeight="1" thickBot="1" x14ac:dyDescent="0.3">
      <c r="E9" s="46" t="s">
        <v>80</v>
      </c>
      <c r="F9" s="65"/>
      <c r="G9" s="67">
        <f>(+J9*4+K9*4+L9*9)*N9/100</f>
        <v>0</v>
      </c>
      <c r="H9" s="67">
        <f>+J9+K9+L9</f>
        <v>68.3</v>
      </c>
      <c r="I9" s="67" t="s">
        <v>30</v>
      </c>
      <c r="J9" s="67">
        <v>47</v>
      </c>
      <c r="K9" s="67">
        <v>21</v>
      </c>
      <c r="L9" s="67">
        <v>0.3</v>
      </c>
      <c r="M9" s="68">
        <f>+L9/(L9+K9+J9)</f>
        <v>4.3923865300146414E-3</v>
      </c>
      <c r="N9" s="67"/>
      <c r="O9" s="67" t="s">
        <v>85</v>
      </c>
      <c r="P9" s="67" t="s">
        <v>61</v>
      </c>
      <c r="Q9" s="67" t="s">
        <v>68</v>
      </c>
      <c r="R9" s="69"/>
      <c r="S9" s="66" t="str">
        <f>+IF(R9&lt;&gt;"",R9*$F$5,"")</f>
        <v/>
      </c>
      <c r="T9" s="71" t="str">
        <f>+IF(S9&lt;&gt;"",S9*N9,"")</f>
        <v/>
      </c>
      <c r="U9" s="66" t="str">
        <f>+IF(T9&lt;&gt;"",T9*J9/100,"")</f>
        <v/>
      </c>
      <c r="V9" s="66" t="str">
        <f>+IF(T9&lt;&gt;"",T9*K9/100,"")</f>
        <v/>
      </c>
      <c r="W9" s="66" t="str">
        <f>+IF(T9&lt;&gt;"",T9*L9/100,"")</f>
        <v/>
      </c>
      <c r="X9" s="70"/>
      <c r="Y9" s="3" t="str">
        <f>IF(S9&lt;&gt;"",CONCATENATE("&lt;checklist/&gt;&amp;nbsp;&amp;nbsp;&amp;nbsp;&amp;nbsp;&amp;nbsp;",I9,": ",S9, " ",O9,P9,$Y$4, " ''(",Q9,")''&lt;/span&gt;&lt;br&gt;&lt;br&gt;"),"")</f>
        <v/>
      </c>
      <c r="Z9" s="3" t="str">
        <f t="shared" si="0"/>
        <v xml:space="preserve">&lt;checklist/&gt;&amp;nbsp;&amp;nbsp;&amp;nbsp;&amp;nbsp;&amp;nbsp;Crema de avellanas : 3 tarros 350 gr ''(Líder)''&lt;/span&gt;&lt;br&gt;&lt;br&gt;
</v>
      </c>
      <c r="AA9" s="3"/>
      <c r="AB9" s="3"/>
      <c r="AC9" s="3"/>
      <c r="AD9" s="3"/>
      <c r="AE9" s="3"/>
      <c r="AF9" s="1"/>
      <c r="AG9" s="1"/>
      <c r="AH9" s="1"/>
      <c r="AI9" s="1"/>
      <c r="AJ9" s="1"/>
      <c r="AK9" s="1"/>
      <c r="AL9" s="1"/>
      <c r="AM9" s="1"/>
      <c r="AN9" s="1"/>
      <c r="AO9" s="1"/>
      <c r="AP9" s="1"/>
      <c r="AQ9" s="1"/>
      <c r="AR9" s="1"/>
      <c r="AS9" s="1"/>
    </row>
    <row r="10" spans="5:45" ht="27" customHeight="1" x14ac:dyDescent="0.25">
      <c r="E10" s="46" t="s">
        <v>74</v>
      </c>
      <c r="F10" s="65"/>
      <c r="G10" s="67">
        <f>(+J10*4+K10*4+L10*9)*N10/100</f>
        <v>0</v>
      </c>
      <c r="H10" s="67">
        <f>+J10+K10+L10</f>
        <v>0</v>
      </c>
      <c r="I10" s="67" t="s">
        <v>25</v>
      </c>
      <c r="J10" s="67">
        <v>0</v>
      </c>
      <c r="K10" s="67">
        <v>0</v>
      </c>
      <c r="L10" s="67">
        <v>0</v>
      </c>
      <c r="M10" s="68">
        <v>0</v>
      </c>
      <c r="N10" s="67"/>
      <c r="O10" s="67" t="s">
        <v>69</v>
      </c>
      <c r="P10" s="67"/>
      <c r="Q10" s="67" t="s">
        <v>68</v>
      </c>
      <c r="R10" s="69">
        <v>3</v>
      </c>
      <c r="S10" s="66">
        <f>+IF(R10&lt;&gt;"",R10*$F$5,"")</f>
        <v>9</v>
      </c>
      <c r="T10" s="66">
        <f>+IF(S10&lt;&gt;"",S10*N10,"")</f>
        <v>0</v>
      </c>
      <c r="U10" s="66">
        <f>+IF(T10&lt;&gt;"",T10*J10/100,"")</f>
        <v>0</v>
      </c>
      <c r="V10" s="66">
        <f>+IF(T10&lt;&gt;"",T10*K10/100,"")</f>
        <v>0</v>
      </c>
      <c r="W10" s="66">
        <f>+IF(T10&lt;&gt;"",T10*L10/100,"")</f>
        <v>0</v>
      </c>
      <c r="X10" s="70"/>
      <c r="Y10" s="3" t="str">
        <f>IF(S10&lt;&gt;"",CONCATENATE("&lt;checklist/&gt;&amp;nbsp;&amp;nbsp;&amp;nbsp;&amp;nbsp;&amp;nbsp;",I10,": ",S10, " ",O10,P10,$Y$4, " ''(",Q10,")''&lt;/span&gt;&lt;br&gt;&lt;br&gt;"),"")</f>
        <v>&lt;checklist/&gt;&amp;nbsp;&amp;nbsp;&amp;nbsp;&amp;nbsp;&amp;nbsp;Té: 9 bolsas* ''(a elección*)''&lt;/span&gt;&lt;br&gt;&lt;br&gt;</v>
      </c>
      <c r="Z10" s="3" t="str">
        <f t="shared" si="0"/>
        <v xml:space="preserve">&lt;checklist/&gt;&amp;nbsp;&amp;nbsp;&amp;nbsp;&amp;nbsp;&amp;nbsp;Crema de avellanas : 3 tarros 350 gr ''(Líder)''&lt;/span&gt;&lt;br&gt;&lt;br&gt;
&lt;checklist/&gt;&amp;nbsp;&amp;nbsp;&amp;nbsp;&amp;nbsp;&amp;nbsp;Té: 9 bolsas* ''(a elección*)''&lt;/span&gt;&lt;br&gt;&lt;br&gt;
</v>
      </c>
      <c r="AA10" s="3"/>
      <c r="AB10" s="3"/>
      <c r="AC10" s="3"/>
      <c r="AD10" s="3"/>
      <c r="AE10" s="3"/>
      <c r="AF10" s="1"/>
      <c r="AG10" s="1"/>
      <c r="AH10" s="1"/>
      <c r="AI10" s="1"/>
      <c r="AJ10" s="1"/>
      <c r="AK10" s="1"/>
      <c r="AL10" s="1"/>
      <c r="AM10" s="1"/>
      <c r="AN10" s="1"/>
      <c r="AO10" s="1"/>
      <c r="AP10" s="1"/>
      <c r="AQ10" s="1"/>
      <c r="AR10" s="1"/>
      <c r="AS10" s="1"/>
    </row>
    <row r="11" spans="5:45" ht="27" customHeight="1" x14ac:dyDescent="0.25">
      <c r="E11" s="46" t="str">
        <f>CONCATENATE("! Carbohidratos&lt;br&gt; &lt;small&gt; (meta: ",ROUND(U2,0)," gr)&lt;/small&gt;")</f>
        <v>! Carbohidratos&lt;br&gt; &lt;small&gt; (meta: 3848 gr)&lt;/small&gt;</v>
      </c>
      <c r="F11" s="65"/>
      <c r="G11" s="67">
        <f>(+J11*4+K11*4+L11*9)*N11/100</f>
        <v>0</v>
      </c>
      <c r="H11" s="67">
        <f>+J11+K11+L11</f>
        <v>0</v>
      </c>
      <c r="I11" s="67" t="s">
        <v>71</v>
      </c>
      <c r="J11" s="67"/>
      <c r="K11" s="67"/>
      <c r="L11" s="67"/>
      <c r="M11" s="68">
        <v>0</v>
      </c>
      <c r="N11" s="66">
        <f>N7</f>
        <v>15.833333333333334</v>
      </c>
      <c r="O11" s="67" t="s">
        <v>72</v>
      </c>
      <c r="P11" s="67" t="s">
        <v>61</v>
      </c>
      <c r="Q11" s="67" t="s">
        <v>68</v>
      </c>
      <c r="R11" s="69"/>
      <c r="S11" s="66" t="str">
        <f>+IF(R11&lt;&gt;"",R11*$F$5,"")</f>
        <v/>
      </c>
      <c r="T11" s="66" t="str">
        <f>+IF(S11&lt;&gt;"",S11*N11,"")</f>
        <v/>
      </c>
      <c r="U11" s="66" t="str">
        <f>+IF(T11&lt;&gt;"",T11*J11/100,"")</f>
        <v/>
      </c>
      <c r="V11" s="66" t="str">
        <f>+IF(T11&lt;&gt;"",T11*K11/100,"")</f>
        <v/>
      </c>
      <c r="W11" s="66" t="str">
        <f>+IF(T11&lt;&gt;"",T11*L11/100,"")</f>
        <v/>
      </c>
      <c r="X11" s="70"/>
      <c r="Y11" s="3" t="str">
        <f>IF(S11&lt;&gt;"",CONCATENATE("&lt;checklist/&gt;&amp;nbsp;&amp;nbsp;&amp;nbsp;&amp;nbsp;&amp;nbsp;",I11,": ",S11, " ",O11,P11,$Y$4, " ''(",Q11,")''&lt;/span&gt;&lt;br&gt;&lt;br&gt;"),"")</f>
        <v/>
      </c>
      <c r="Z11" s="3" t="str">
        <f t="shared" si="0"/>
        <v xml:space="preserve">&lt;checklist/&gt;&amp;nbsp;&amp;nbsp;&amp;nbsp;&amp;nbsp;&amp;nbsp;Crema de avellanas : 3 tarros 350 gr ''(Líder)''&lt;/span&gt;&lt;br&gt;&lt;br&gt;
&lt;checklist/&gt;&amp;nbsp;&amp;nbsp;&amp;nbsp;&amp;nbsp;&amp;nbsp;Té: 9 bolsas* ''(a elección*)''&lt;/span&gt;&lt;br&gt;&lt;br&gt;
</v>
      </c>
      <c r="AA11" s="3"/>
      <c r="AB11" s="3"/>
      <c r="AC11" s="3"/>
      <c r="AD11" s="3"/>
      <c r="AE11" s="3"/>
      <c r="AF11" s="1"/>
      <c r="AG11" s="1"/>
      <c r="AH11" s="1"/>
      <c r="AI11" s="1"/>
      <c r="AJ11" s="1"/>
      <c r="AK11" s="1"/>
      <c r="AL11" s="1"/>
      <c r="AM11" s="1"/>
      <c r="AN11" s="1"/>
      <c r="AO11" s="1"/>
      <c r="AP11" s="1"/>
      <c r="AQ11" s="1"/>
      <c r="AR11" s="1"/>
      <c r="AS11" s="1"/>
    </row>
    <row r="12" spans="5:45" ht="27" customHeight="1" thickBot="1" x14ac:dyDescent="0.3">
      <c r="E12" s="46" t="str">
        <f>CONCATENATE("! Proteínas &lt;br&gt;&lt;small&gt; (meta: ",ROUND(V2,0)," gr) &lt;/small&gt;")</f>
        <v>! Proteínas &lt;br&gt;&lt;small&gt; (meta: 1013 gr) &lt;/small&gt;</v>
      </c>
      <c r="F12" s="72"/>
      <c r="G12" s="73">
        <f>(+J12*4+K12*4+L12*9)*N12/100</f>
        <v>257.5</v>
      </c>
      <c r="H12" s="73">
        <f>+J12+K12+L12</f>
        <v>29.5</v>
      </c>
      <c r="I12" s="73" t="s">
        <v>52</v>
      </c>
      <c r="J12" s="73">
        <v>1.6</v>
      </c>
      <c r="K12" s="73">
        <v>10.3</v>
      </c>
      <c r="L12" s="73">
        <v>17.600000000000001</v>
      </c>
      <c r="M12" s="74">
        <f>+L12/(L12+K12+J12)</f>
        <v>0.59661016949152545</v>
      </c>
      <c r="N12" s="73">
        <v>125</v>
      </c>
      <c r="O12" s="73" t="str">
        <f>IF(S12=1,"paquete 125 gr","paquetes 125 gr")</f>
        <v>paquetes 125 gr</v>
      </c>
      <c r="P12" s="73"/>
      <c r="Q12" s="73" t="s">
        <v>51</v>
      </c>
      <c r="R12" s="75"/>
      <c r="S12" s="76" t="str">
        <f>+IF(R12&lt;&gt;"",R12*$F$5,"")</f>
        <v/>
      </c>
      <c r="T12" s="76" t="str">
        <f>+IF(S12&lt;&gt;"",S12*N12,"")</f>
        <v/>
      </c>
      <c r="U12" s="76" t="str">
        <f>+IF(T12&lt;&gt;"",T12*J12/100,"")</f>
        <v/>
      </c>
      <c r="V12" s="76" t="str">
        <f>+IF(T12&lt;&gt;"",T12*K12/100,"")</f>
        <v/>
      </c>
      <c r="W12" s="76" t="str">
        <f>+IF(T12&lt;&gt;"",T12*L12/100,"")</f>
        <v/>
      </c>
      <c r="X12" s="77"/>
      <c r="Y12" s="3" t="str">
        <f>IF(S12&lt;&gt;"",CONCATENATE("&lt;checklist/&gt;&amp;nbsp;&amp;nbsp;&amp;nbsp;&amp;nbsp;&amp;nbsp;",I12,": ",S12, " ",O12,P12,$Y$4, " ''(",Q12,")''&lt;/span&gt;&lt;br&gt;&lt;br&gt;"),"")</f>
        <v/>
      </c>
      <c r="Z12" s="3" t="str">
        <f t="shared" si="0"/>
        <v xml:space="preserve">&lt;checklist/&gt;&amp;nbsp;&amp;nbsp;&amp;nbsp;&amp;nbsp;&amp;nbsp;Crema de avellanas : 3 tarros 350 gr ''(Líder)''&lt;/span&gt;&lt;br&gt;&lt;br&gt;
&lt;checklist/&gt;&amp;nbsp;&amp;nbsp;&amp;nbsp;&amp;nbsp;&amp;nbsp;Té: 9 bolsas* ''(a elección*)''&lt;/span&gt;&lt;br&gt;&lt;br&gt;
</v>
      </c>
      <c r="AA12" s="3"/>
      <c r="AB12" s="3"/>
      <c r="AC12" s="3"/>
      <c r="AD12" s="3"/>
      <c r="AE12" s="3"/>
      <c r="AF12" s="1"/>
      <c r="AG12" s="1"/>
      <c r="AH12" s="1"/>
      <c r="AI12" s="1"/>
      <c r="AJ12" s="1"/>
      <c r="AK12" s="1"/>
      <c r="AL12" s="1"/>
      <c r="AM12" s="1"/>
      <c r="AN12" s="1"/>
      <c r="AO12" s="1"/>
      <c r="AP12" s="1"/>
      <c r="AQ12" s="1"/>
      <c r="AR12" s="1"/>
      <c r="AS12" s="1"/>
    </row>
    <row r="13" spans="5:45" ht="27" customHeight="1" thickBot="1" x14ac:dyDescent="0.3">
      <c r="E13" s="46" t="str">
        <f>CONCATENATE("! Grasas &lt;br&gt;&lt;small&gt; (meta: ",ROUND(W2,0)," gr)&lt;/small&gt;")</f>
        <v>! Grasas &lt;br&gt;&lt;small&gt; (meta: 840 gr)&lt;/small&gt;</v>
      </c>
      <c r="F13" s="78"/>
      <c r="G13" s="79"/>
      <c r="H13" s="79"/>
      <c r="I13" s="79"/>
      <c r="J13" s="80"/>
      <c r="K13" s="80"/>
      <c r="L13" s="80"/>
      <c r="M13" s="81"/>
      <c r="N13" s="80"/>
      <c r="O13" s="79"/>
      <c r="P13" s="79"/>
      <c r="Q13" s="79"/>
      <c r="R13" s="79"/>
      <c r="S13" s="82" t="str">
        <f>+IF(R13&lt;&gt;"",R13*$F$5,"")</f>
        <v/>
      </c>
      <c r="T13" s="82" t="str">
        <f>+IF(S13&lt;&gt;"",S13*N13,"")</f>
        <v/>
      </c>
      <c r="U13" s="82" t="str">
        <f>+IF(T13&lt;&gt;"",T13*J13/100,"")</f>
        <v/>
      </c>
      <c r="V13" s="82" t="str">
        <f>+IF(T13&lt;&gt;"",T13*K13/100,"")</f>
        <v/>
      </c>
      <c r="W13" s="82" t="str">
        <f>+IF(T13&lt;&gt;"",T13*L13/100,"")</f>
        <v/>
      </c>
      <c r="X13" s="82"/>
      <c r="Y13" s="3" t="str">
        <f>IF(S13&lt;&gt;"",CONCATENATE("&lt;checklist/&gt;&amp;nbsp;&amp;nbsp;&amp;nbsp;&amp;nbsp;&amp;nbsp;",I13,": ",S13, " ",O13,P13,$Y$4, " ''(",Q13,")''&lt;/span&gt;&lt;br&gt;&lt;br&gt;"),"")</f>
        <v/>
      </c>
      <c r="Z13" s="3"/>
      <c r="AA13" s="3"/>
      <c r="AB13" s="3"/>
      <c r="AC13" s="3"/>
      <c r="AD13" s="3"/>
      <c r="AE13" s="3"/>
      <c r="AF13" s="1"/>
      <c r="AG13" s="1"/>
      <c r="AH13" s="1"/>
      <c r="AI13" s="1"/>
      <c r="AJ13" s="1"/>
      <c r="AK13" s="1"/>
      <c r="AL13" s="1"/>
      <c r="AM13" s="1"/>
      <c r="AN13" s="1"/>
      <c r="AO13" s="1"/>
      <c r="AP13" s="1"/>
      <c r="AQ13" s="1"/>
      <c r="AR13" s="1"/>
      <c r="AS13" s="1"/>
    </row>
    <row r="14" spans="5:45" ht="27" customHeight="1" x14ac:dyDescent="0.25">
      <c r="E14" s="46" t="str">
        <f>CONCATENATE("! Energía &lt;br&gt; &lt;small&gt;(meta: ",O3," kcal)&lt;small&gt;")</f>
        <v>! Energía &lt;br&gt; &lt;small&gt;(meta:  kcal)&lt;small&gt;</v>
      </c>
      <c r="F14" s="83" t="s">
        <v>100</v>
      </c>
      <c r="G14" s="84">
        <f>(+J14*4+K14*4+L14*9)*N14/100</f>
        <v>213.6</v>
      </c>
      <c r="H14" s="85">
        <f>+J14+K14+L14</f>
        <v>89</v>
      </c>
      <c r="I14" s="85" t="s">
        <v>8</v>
      </c>
      <c r="J14" s="85">
        <v>89</v>
      </c>
      <c r="K14" s="85">
        <v>0</v>
      </c>
      <c r="L14" s="85">
        <v>0</v>
      </c>
      <c r="M14" s="86">
        <f>+L14/(L14+K14+J14)</f>
        <v>0</v>
      </c>
      <c r="N14" s="85">
        <v>60</v>
      </c>
      <c r="O14" s="85" t="str">
        <f>IF(S14=1,"sobre de litro","sobres de litro")</f>
        <v>sobres de litro</v>
      </c>
      <c r="P14" s="85"/>
      <c r="Q14" s="85" t="s">
        <v>9</v>
      </c>
      <c r="R14" s="87"/>
      <c r="S14" s="84" t="str">
        <f>+IF(R14&lt;&gt;"",R14*$F$5,"")</f>
        <v/>
      </c>
      <c r="T14" s="84" t="str">
        <f>+IF(S14&lt;&gt;"",S14*N14,"")</f>
        <v/>
      </c>
      <c r="U14" s="84" t="str">
        <f>+IF(T14&lt;&gt;"",T14*J14/100,"")</f>
        <v/>
      </c>
      <c r="V14" s="84" t="str">
        <f>+IF(T14&lt;&gt;"",T14*K14/100,"")</f>
        <v/>
      </c>
      <c r="W14" s="84" t="str">
        <f>+IF(T14&lt;&gt;"",T14*L14/100,"")</f>
        <v/>
      </c>
      <c r="X14" s="88"/>
      <c r="Y14" s="3" t="str">
        <f>IF(S14&lt;&gt;"",CONCATENATE("&lt;checklist/&gt;&amp;nbsp;&amp;nbsp;&amp;nbsp;&amp;nbsp;&amp;nbsp;",I14,": ",S14, " ",O14,P14,$Y$4, " ''(",Q14,")''&lt;/span&gt;&lt;br&gt;&lt;br&gt;"),"")</f>
        <v/>
      </c>
      <c r="Z14" s="3" t="str">
        <f t="shared" si="0"/>
        <v/>
      </c>
      <c r="AA14" s="3"/>
      <c r="AB14" s="3"/>
      <c r="AC14" s="3"/>
      <c r="AD14" s="3"/>
      <c r="AE14" s="3"/>
      <c r="AF14" s="1"/>
      <c r="AG14" s="1"/>
      <c r="AH14" s="1"/>
      <c r="AI14" s="1"/>
      <c r="AJ14" s="1"/>
      <c r="AK14" s="1"/>
      <c r="AL14" s="1"/>
      <c r="AM14" s="1"/>
      <c r="AN14" s="1"/>
      <c r="AO14" s="1"/>
      <c r="AP14" s="1"/>
      <c r="AQ14" s="1"/>
      <c r="AR14" s="1"/>
      <c r="AS14" s="1"/>
    </row>
    <row r="15" spans="5:45" ht="27" customHeight="1" x14ac:dyDescent="0.25">
      <c r="E15" s="46" t="s">
        <v>74</v>
      </c>
      <c r="F15" s="89" t="s">
        <v>98</v>
      </c>
      <c r="G15" s="90"/>
      <c r="H15" s="91">
        <f>+J15+K15+L15</f>
        <v>67.3</v>
      </c>
      <c r="I15" s="91" t="s">
        <v>29</v>
      </c>
      <c r="J15" s="91">
        <v>51</v>
      </c>
      <c r="K15" s="91">
        <v>11.1</v>
      </c>
      <c r="L15" s="91">
        <v>5.2</v>
      </c>
      <c r="M15" s="92">
        <f>+L15/(L15+K15+J15)</f>
        <v>7.7265973254086184E-2</v>
      </c>
      <c r="N15" s="90">
        <f>450/8</f>
        <v>56.25</v>
      </c>
      <c r="O15" s="91" t="s">
        <v>64</v>
      </c>
      <c r="P15" s="90"/>
      <c r="Q15" s="91" t="s">
        <v>78</v>
      </c>
      <c r="R15" s="93"/>
      <c r="S15" s="90" t="str">
        <f>+IF(R15&lt;&gt;"",R15*$F$5,"")</f>
        <v/>
      </c>
      <c r="T15" s="90" t="str">
        <f>+IF(S15&lt;&gt;"",S15*N15,"")</f>
        <v/>
      </c>
      <c r="U15" s="90" t="str">
        <f>+IF(T15&lt;&gt;"",T15*J15/100,"")</f>
        <v/>
      </c>
      <c r="V15" s="90" t="str">
        <f>+IF(T15&lt;&gt;"",T15*K15/100,"")</f>
        <v/>
      </c>
      <c r="W15" s="90" t="str">
        <f>+IF(T15&lt;&gt;"",T15*L15/100,"")</f>
        <v/>
      </c>
      <c r="X15" s="94"/>
      <c r="Y15" s="3" t="str">
        <f>IF(S15&lt;&gt;"",CONCATENATE("&lt;checklist/&gt;&amp;nbsp;&amp;nbsp;&amp;nbsp;&amp;nbsp;&amp;nbsp;",I15,": ",S15, " ",O15,P15,$Y$4, " ''(",Q15,")''&lt;/span&gt;&lt;br&gt;&lt;br&gt;"),"")</f>
        <v/>
      </c>
      <c r="Z15" s="3" t="str">
        <f t="shared" si="0"/>
        <v/>
      </c>
      <c r="AA15" s="3"/>
      <c r="AB15" s="3"/>
      <c r="AC15" s="3"/>
      <c r="AD15" s="3"/>
      <c r="AE15" s="3"/>
      <c r="AF15" s="1"/>
      <c r="AG15" s="1"/>
      <c r="AH15" s="1"/>
      <c r="AI15" s="1"/>
      <c r="AJ15" s="1"/>
      <c r="AK15" s="1"/>
      <c r="AL15" s="1"/>
      <c r="AM15" s="1"/>
      <c r="AN15" s="1"/>
      <c r="AO15" s="1"/>
      <c r="AP15" s="1"/>
      <c r="AQ15" s="1"/>
      <c r="AR15" s="1"/>
      <c r="AS15" s="1"/>
    </row>
    <row r="16" spans="5:45" ht="27" customHeight="1" x14ac:dyDescent="0.25">
      <c r="E16" s="46" t="str">
        <f>CONCATENATE("|",ROUND(U3,0)," gramos")</f>
        <v>|3673 gramos</v>
      </c>
      <c r="F16" s="89" t="s">
        <v>99</v>
      </c>
      <c r="G16" s="90">
        <f>(+J16*4+K16*4+L16*9)*N16/100</f>
        <v>10.023</v>
      </c>
      <c r="H16" s="91">
        <f>+J16+K16+L16</f>
        <v>18.399999999999999</v>
      </c>
      <c r="I16" s="91" t="s">
        <v>27</v>
      </c>
      <c r="J16" s="91">
        <v>1.3</v>
      </c>
      <c r="K16" s="91">
        <v>16.399999999999999</v>
      </c>
      <c r="L16" s="91">
        <v>0.7</v>
      </c>
      <c r="M16" s="92">
        <f>+L16/(L16+K16+J16)</f>
        <v>3.8043478260869568E-2</v>
      </c>
      <c r="N16" s="91">
        <v>13</v>
      </c>
      <c r="O16" s="91" t="str">
        <f>IF(S16=1,"lonja","lonjas")</f>
        <v>lonjas</v>
      </c>
      <c r="P16" s="91"/>
      <c r="Q16" s="91" t="s">
        <v>77</v>
      </c>
      <c r="R16" s="93"/>
      <c r="S16" s="90" t="str">
        <f>+IF(R16&lt;&gt;"",R16*$F$5,"")</f>
        <v/>
      </c>
      <c r="T16" s="90" t="str">
        <f>+IF(S16&lt;&gt;"",S16*N16,"")</f>
        <v/>
      </c>
      <c r="U16" s="90" t="str">
        <f>+IF(T16&lt;&gt;"",T16*J16/100,"")</f>
        <v/>
      </c>
      <c r="V16" s="90" t="str">
        <f>+IF(T16&lt;&gt;"",T16*K16/100,"")</f>
        <v/>
      </c>
      <c r="W16" s="90" t="str">
        <f>+IF(T16&lt;&gt;"",T16*L16/100,"")</f>
        <v/>
      </c>
      <c r="X16" s="94"/>
      <c r="Y16" s="3" t="str">
        <f>IF(S16&lt;&gt;"",CONCATENATE("&lt;checklist/&gt;&amp;nbsp;&amp;nbsp;&amp;nbsp;&amp;nbsp;&amp;nbsp;",I16,": ",S16, " ",O16,P16,$Y$4, " ''(",Q16,")''&lt;/span&gt;&lt;br&gt;&lt;br&gt;"),"")</f>
        <v/>
      </c>
      <c r="Z16" s="3" t="str">
        <f t="shared" si="0"/>
        <v/>
      </c>
      <c r="AA16" s="3"/>
      <c r="AB16" s="3"/>
      <c r="AC16" s="3"/>
      <c r="AD16" s="3"/>
      <c r="AE16" s="3"/>
      <c r="AF16" s="1"/>
      <c r="AG16" s="1"/>
      <c r="AH16" s="1"/>
      <c r="AI16" s="1"/>
      <c r="AJ16" s="1"/>
      <c r="AK16" s="1"/>
      <c r="AL16" s="1"/>
      <c r="AM16" s="1"/>
      <c r="AN16" s="1"/>
      <c r="AO16" s="1"/>
      <c r="AP16" s="1"/>
      <c r="AQ16" s="1"/>
      <c r="AR16" s="1"/>
      <c r="AS16" s="1"/>
    </row>
    <row r="17" spans="5:45" ht="27" customHeight="1" x14ac:dyDescent="0.25">
      <c r="E17" s="46" t="str">
        <f>CONCATENATE("|",ROUND(V3,0)," gramos")</f>
        <v>|964 gramos</v>
      </c>
      <c r="F17" s="89"/>
      <c r="G17" s="90">
        <f>(+J17*4+K17*4+L17*9)*N17/100</f>
        <v>55.556000000000004</v>
      </c>
      <c r="H17" s="91">
        <f>+J17+K17+L17</f>
        <v>51.7</v>
      </c>
      <c r="I17" s="91" t="s">
        <v>63</v>
      </c>
      <c r="J17" s="91">
        <v>2.4</v>
      </c>
      <c r="K17" s="91">
        <v>25.3</v>
      </c>
      <c r="L17" s="91">
        <v>24</v>
      </c>
      <c r="M17" s="92">
        <f>+L17/(L17+K17+J17)</f>
        <v>0.46421663442940042</v>
      </c>
      <c r="N17" s="91">
        <v>17</v>
      </c>
      <c r="O17" s="91" t="str">
        <f t="shared" ref="O17:O18" si="1">IF(S17=1,"lonja","lonjas")</f>
        <v>lonjas</v>
      </c>
      <c r="P17" s="91"/>
      <c r="Q17" s="91" t="s">
        <v>65</v>
      </c>
      <c r="R17" s="93"/>
      <c r="S17" s="90" t="str">
        <f>+IF(R17&lt;&gt;"",R17*$F$5,"")</f>
        <v/>
      </c>
      <c r="T17" s="90" t="str">
        <f>+IF(S17&lt;&gt;"",S17*N17,"")</f>
        <v/>
      </c>
      <c r="U17" s="90" t="str">
        <f>+IF(T17&lt;&gt;"",T17*J17/100,"")</f>
        <v/>
      </c>
      <c r="V17" s="90" t="str">
        <f>+IF(T17&lt;&gt;"",T17*K17/100,"")</f>
        <v/>
      </c>
      <c r="W17" s="90" t="str">
        <f>+IF(T17&lt;&gt;"",T17*L17/100,"")</f>
        <v/>
      </c>
      <c r="X17" s="94"/>
      <c r="Y17" s="3" t="str">
        <f>IF(S17&lt;&gt;"",CONCATENATE("&lt;checklist/&gt;&amp;nbsp;&amp;nbsp;&amp;nbsp;&amp;nbsp;&amp;nbsp;",I17,": ",S17, " ",O17,P17,$Y$4, " ''(",Q17,")''&lt;/span&gt;&lt;br&gt;&lt;br&gt;"),"")</f>
        <v/>
      </c>
      <c r="Z17" s="3" t="str">
        <f t="shared" si="0"/>
        <v/>
      </c>
      <c r="AA17" s="3"/>
      <c r="AB17" s="3"/>
      <c r="AC17" s="3"/>
      <c r="AD17" s="3"/>
      <c r="AE17" s="3"/>
      <c r="AF17" s="1"/>
      <c r="AG17" s="1"/>
      <c r="AH17" s="1"/>
      <c r="AI17" s="1"/>
      <c r="AJ17" s="1"/>
      <c r="AK17" s="1"/>
      <c r="AL17" s="1"/>
      <c r="AM17" s="1"/>
      <c r="AN17" s="1"/>
      <c r="AO17" s="1"/>
      <c r="AP17" s="1"/>
      <c r="AQ17" s="1"/>
      <c r="AR17" s="1"/>
      <c r="AS17" s="1"/>
    </row>
    <row r="18" spans="5:45" ht="27" customHeight="1" x14ac:dyDescent="0.25">
      <c r="E18" s="46" t="str">
        <f>CONCATENATE("|",ROUND(W3,0)," gramos")</f>
        <v>|1277 gramos</v>
      </c>
      <c r="F18" s="89"/>
      <c r="G18" s="90">
        <f>(+J18*4+K18*4+L18*9)*N18/100</f>
        <v>21.246500000000001</v>
      </c>
      <c r="H18" s="91">
        <f>+J18+K18+L18</f>
        <v>57.2</v>
      </c>
      <c r="I18" s="91" t="s">
        <v>28</v>
      </c>
      <c r="J18" s="91">
        <v>0.7</v>
      </c>
      <c r="K18" s="91">
        <v>25</v>
      </c>
      <c r="L18" s="91">
        <v>31.5</v>
      </c>
      <c r="M18" s="92">
        <f>+L18/(L18+K18+J18)</f>
        <v>0.55069930069930062</v>
      </c>
      <c r="N18" s="91">
        <v>5.5</v>
      </c>
      <c r="O18" s="91" t="str">
        <f t="shared" si="1"/>
        <v>lonjas</v>
      </c>
      <c r="P18" s="91"/>
      <c r="Q18" s="91" t="s">
        <v>66</v>
      </c>
      <c r="R18" s="93">
        <v>3</v>
      </c>
      <c r="S18" s="90">
        <f>+IF(R18&lt;&gt;"",R18*$F$5,"")</f>
        <v>9</v>
      </c>
      <c r="T18" s="90">
        <f>+IF(S18&lt;&gt;"",S18*N18,"")</f>
        <v>49.5</v>
      </c>
      <c r="U18" s="90">
        <f>+IF(T18&lt;&gt;"",T18*J18/100,"")</f>
        <v>0.34649999999999997</v>
      </c>
      <c r="V18" s="90">
        <f>+IF(T18&lt;&gt;"",T18*K18/100,"")</f>
        <v>12.375</v>
      </c>
      <c r="W18" s="90">
        <f>+IF(T18&lt;&gt;"",T18*L18/100,"")</f>
        <v>15.592499999999999</v>
      </c>
      <c r="X18" s="94"/>
      <c r="Y18" s="3" t="str">
        <f>IF(S18&lt;&gt;"",CONCATENATE("&lt;checklist/&gt;&amp;nbsp;&amp;nbsp;&amp;nbsp;&amp;nbsp;&amp;nbsp;",I18,": ",S18, " ",O18,P18,$Y$4, " ''(",Q18,")''&lt;/span&gt;&lt;br&gt;&lt;br&gt;"),"")</f>
        <v>&lt;checklist/&gt;&amp;nbsp;&amp;nbsp;&amp;nbsp;&amp;nbsp;&amp;nbsp;Salame: 9 lonjas ''(laminado Líder)''&lt;/span&gt;&lt;br&gt;&lt;br&gt;</v>
      </c>
      <c r="Z18" s="3" t="str">
        <f t="shared" si="0"/>
        <v xml:space="preserve">&lt;checklist/&gt;&amp;nbsp;&amp;nbsp;&amp;nbsp;&amp;nbsp;&amp;nbsp;Salame: 9 lonjas ''(laminado Líder)''&lt;/span&gt;&lt;br&gt;&lt;br&gt;
</v>
      </c>
      <c r="AA18" s="3"/>
      <c r="AB18" s="3"/>
      <c r="AC18" s="3"/>
      <c r="AD18" s="3"/>
      <c r="AE18" s="3"/>
      <c r="AF18" s="1"/>
      <c r="AG18" s="1"/>
      <c r="AH18" s="1"/>
      <c r="AI18" s="1"/>
      <c r="AJ18" s="1"/>
      <c r="AK18" s="1"/>
      <c r="AL18" s="1"/>
      <c r="AM18" s="1"/>
      <c r="AN18" s="1"/>
      <c r="AO18" s="1"/>
      <c r="AP18" s="1"/>
      <c r="AQ18" s="1"/>
      <c r="AR18" s="1"/>
      <c r="AS18" s="1"/>
    </row>
    <row r="19" spans="5:45" ht="27" customHeight="1" x14ac:dyDescent="0.25">
      <c r="E19" s="46" t="str">
        <f>CONCATENATE("|",ROUND(U3*4+V3*4+W3*9,0)," kcal")</f>
        <v>|30041 kcal</v>
      </c>
      <c r="F19" s="89"/>
      <c r="G19" s="90">
        <f>(+J19*4+K19*4+L19*9)*N19/100</f>
        <v>41.843999999999994</v>
      </c>
      <c r="H19" s="91">
        <f>+J19+K19+L19</f>
        <v>42.8</v>
      </c>
      <c r="I19" s="91" t="s">
        <v>16</v>
      </c>
      <c r="J19" s="91">
        <v>6.6</v>
      </c>
      <c r="K19" s="91">
        <v>0.7</v>
      </c>
      <c r="L19" s="91">
        <v>35.5</v>
      </c>
      <c r="M19" s="92">
        <f>+L19/(L19+K19+J19)</f>
        <v>0.82943925233644855</v>
      </c>
      <c r="N19" s="91">
        <v>12</v>
      </c>
      <c r="O19" s="91" t="str">
        <f>IF(S19&lt;&gt;"",CONCATENATE("porciones de sandwich (",N19*S19," gr)"),"porciones de sandwich")</f>
        <v>porciones de sandwich</v>
      </c>
      <c r="P19" s="91"/>
      <c r="Q19" s="91" t="s">
        <v>70</v>
      </c>
      <c r="R19" s="93"/>
      <c r="S19" s="90" t="str">
        <f>+IF(R19&lt;&gt;"",R19*$F$5,"")</f>
        <v/>
      </c>
      <c r="T19" s="90" t="str">
        <f>+IF(S19&lt;&gt;"",S19*N19,"")</f>
        <v/>
      </c>
      <c r="U19" s="90" t="str">
        <f>+IF(T19&lt;&gt;"",T19*J19/100,"")</f>
        <v/>
      </c>
      <c r="V19" s="90" t="str">
        <f>+IF(T19&lt;&gt;"",T19*K19/100,"")</f>
        <v/>
      </c>
      <c r="W19" s="90" t="str">
        <f>+IF(T19&lt;&gt;"",T19*L19/100,"")</f>
        <v/>
      </c>
      <c r="X19" s="94"/>
      <c r="Y19" s="3" t="str">
        <f>IF(S19&lt;&gt;"",CONCATENATE("&lt;checklist/&gt;&amp;nbsp;&amp;nbsp;&amp;nbsp;&amp;nbsp;&amp;nbsp;",I19,": ",S19, " ",O19,P19,$Y$4, " ''(",Q19,")''&lt;/span&gt;&lt;br&gt;&lt;br&gt;"),"")</f>
        <v/>
      </c>
      <c r="Z19" s="3" t="str">
        <f t="shared" si="0"/>
        <v xml:space="preserve">&lt;checklist/&gt;&amp;nbsp;&amp;nbsp;&amp;nbsp;&amp;nbsp;&amp;nbsp;Salame: 9 lonjas ''(laminado Líder)''&lt;/span&gt;&lt;br&gt;&lt;br&gt;
</v>
      </c>
      <c r="AA19" s="3"/>
      <c r="AB19" s="3"/>
      <c r="AC19" s="3"/>
      <c r="AD19" s="3"/>
      <c r="AE19" s="3"/>
      <c r="AF19" s="1"/>
      <c r="AG19" s="1"/>
      <c r="AH19" s="1"/>
      <c r="AI19" s="1"/>
      <c r="AJ19" s="1"/>
      <c r="AK19" s="1"/>
      <c r="AL19" s="1"/>
      <c r="AM19" s="1"/>
      <c r="AN19" s="1"/>
      <c r="AO19" s="1"/>
      <c r="AP19" s="1"/>
      <c r="AQ19" s="1"/>
      <c r="AR19" s="1"/>
      <c r="AS19" s="1"/>
    </row>
    <row r="20" spans="5:45" ht="27" customHeight="1" x14ac:dyDescent="0.25">
      <c r="E20" s="46" t="s">
        <v>75</v>
      </c>
      <c r="F20" s="89"/>
      <c r="G20" s="90"/>
      <c r="H20" s="91">
        <f>+J20+K20+L20</f>
        <v>86.6</v>
      </c>
      <c r="I20" s="91" t="s">
        <v>26</v>
      </c>
      <c r="J20" s="91">
        <v>69</v>
      </c>
      <c r="K20" s="91">
        <v>5.0999999999999996</v>
      </c>
      <c r="L20" s="91">
        <v>12.5</v>
      </c>
      <c r="M20" s="92">
        <f>+L20/(L20+K20+J20)</f>
        <v>0.14434180138568131</v>
      </c>
      <c r="N20" s="91">
        <v>20</v>
      </c>
      <c r="O20" s="91" t="str">
        <f>IF(S20=1,"barra","barras")</f>
        <v>barras</v>
      </c>
      <c r="P20" s="91"/>
      <c r="Q20" s="91" t="s">
        <v>43</v>
      </c>
      <c r="R20" s="93"/>
      <c r="S20" s="90" t="str">
        <f>+IF(R20&lt;&gt;"",R20*$F$5,"")</f>
        <v/>
      </c>
      <c r="T20" s="90" t="str">
        <f>+IF(S20&lt;&gt;"",S20*N20,"")</f>
        <v/>
      </c>
      <c r="U20" s="90" t="str">
        <f>+IF(T20&lt;&gt;"",T20*J20/100,"")</f>
        <v/>
      </c>
      <c r="V20" s="90" t="str">
        <f>+IF(T20&lt;&gt;"",T20*K20/100,"")</f>
        <v/>
      </c>
      <c r="W20" s="90" t="str">
        <f>+IF(T20&lt;&gt;"",T20*L20/100,"")</f>
        <v/>
      </c>
      <c r="X20" s="94"/>
      <c r="Y20" s="3" t="str">
        <f>IF(S20&lt;&gt;"",CONCATENATE("&lt;checklist/&gt;&amp;nbsp;&amp;nbsp;&amp;nbsp;&amp;nbsp;&amp;nbsp;",I20,": ",S20, " ",O20,P20,$Y$4, " ''(",Q20,")''&lt;/span&gt;&lt;br&gt;&lt;br&gt;"),"")</f>
        <v/>
      </c>
      <c r="Z20" s="3" t="str">
        <f t="shared" si="0"/>
        <v xml:space="preserve">&lt;checklist/&gt;&amp;nbsp;&amp;nbsp;&amp;nbsp;&amp;nbsp;&amp;nbsp;Salame: 9 lonjas ''(laminado Líder)''&lt;/span&gt;&lt;br&gt;&lt;br&gt;
</v>
      </c>
      <c r="AA20" s="3"/>
      <c r="AB20" s="3"/>
      <c r="AC20" s="3"/>
      <c r="AD20" s="3"/>
      <c r="AE20" s="3"/>
      <c r="AF20" s="1"/>
      <c r="AG20" s="1"/>
      <c r="AH20" s="1"/>
      <c r="AI20" s="1"/>
      <c r="AJ20" s="1"/>
      <c r="AK20" s="1"/>
      <c r="AL20" s="1"/>
      <c r="AM20" s="1"/>
      <c r="AN20" s="1"/>
      <c r="AO20" s="1"/>
      <c r="AP20" s="1"/>
      <c r="AQ20" s="1"/>
      <c r="AR20" s="1"/>
      <c r="AS20" s="1"/>
    </row>
    <row r="21" spans="5:45" ht="27" customHeight="1" x14ac:dyDescent="0.25">
      <c r="E21" s="47" t="str">
        <f>CONCATENATE("===Desayuno (complementar con ración de marcha)===")</f>
        <v>===Desayuno (complementar con ración de marcha)===</v>
      </c>
      <c r="F21" s="89"/>
      <c r="G21" s="90"/>
      <c r="H21" s="91">
        <f>+J21+K21+L21</f>
        <v>50.2</v>
      </c>
      <c r="I21" s="91" t="s">
        <v>12</v>
      </c>
      <c r="J21" s="91">
        <v>50</v>
      </c>
      <c r="K21" s="91">
        <v>0.1</v>
      </c>
      <c r="L21" s="91">
        <v>0.1</v>
      </c>
      <c r="M21" s="92">
        <f>+L21/(L21+K21+J21)</f>
        <v>1.9920318725099601E-3</v>
      </c>
      <c r="N21" s="91">
        <v>7</v>
      </c>
      <c r="O21" s="91" t="str">
        <f>IF(S21=1,"sobre","sobres")</f>
        <v>sobres</v>
      </c>
      <c r="P21" s="91"/>
      <c r="Q21" s="91" t="s">
        <v>13</v>
      </c>
      <c r="R21" s="93">
        <v>4</v>
      </c>
      <c r="S21" s="90">
        <f>+IF(R21&lt;&gt;"",R21*$F$5,"")</f>
        <v>12</v>
      </c>
      <c r="T21" s="90">
        <f>+IF(S21&lt;&gt;"",S21*N21,"")</f>
        <v>84</v>
      </c>
      <c r="U21" s="90">
        <f>+IF(T21&lt;&gt;"",T21*J21/100,"")</f>
        <v>42</v>
      </c>
      <c r="V21" s="90">
        <f>+IF(T21&lt;&gt;"",T21*K21/100,"")</f>
        <v>8.4000000000000005E-2</v>
      </c>
      <c r="W21" s="90">
        <f>+IF(T21&lt;&gt;"",T21*L21/100,"")</f>
        <v>8.4000000000000005E-2</v>
      </c>
      <c r="X21" s="94"/>
      <c r="Y21" s="3" t="str">
        <f>IF(S21&lt;&gt;"",CONCATENATE("&lt;checklist/&gt;&amp;nbsp;&amp;nbsp;&amp;nbsp;&amp;nbsp;&amp;nbsp;",I21,": ",S21, " ",O21,P21,$Y$4, " ''(",Q21,")''&lt;/span&gt;&lt;br&gt;&lt;br&gt;"),"")</f>
        <v>&lt;checklist/&gt;&amp;nbsp;&amp;nbsp;&amp;nbsp;&amp;nbsp;&amp;nbsp;Jugo sin azúcar añadida: 12 sobres ''(Vivo Herbal)''&lt;/span&gt;&lt;br&gt;&lt;br&gt;</v>
      </c>
      <c r="Z21" s="3" t="str">
        <f t="shared" si="0"/>
        <v xml:space="preserve">&lt;checklist/&gt;&amp;nbsp;&amp;nbsp;&amp;nbsp;&amp;nbsp;&amp;nbsp;Salame: 9 lonjas ''(laminado Líder)''&lt;/span&gt;&lt;br&gt;&lt;br&gt;
&lt;checklist/&gt;&amp;nbsp;&amp;nbsp;&amp;nbsp;&amp;nbsp;&amp;nbsp;Jugo sin azúcar añadida: 12 sobres ''(Vivo Herbal)''&lt;/span&gt;&lt;br&gt;&lt;br&gt;
</v>
      </c>
      <c r="AA21" s="3"/>
      <c r="AB21" s="3"/>
      <c r="AC21" s="3"/>
      <c r="AD21" s="3"/>
      <c r="AE21" s="3"/>
      <c r="AF21" s="1"/>
      <c r="AG21" s="1"/>
      <c r="AH21" s="1"/>
      <c r="AI21" s="1"/>
      <c r="AJ21" s="1"/>
      <c r="AK21" s="1"/>
      <c r="AL21" s="1"/>
      <c r="AM21" s="1"/>
      <c r="AN21" s="1"/>
      <c r="AO21" s="1"/>
      <c r="AP21" s="1"/>
      <c r="AQ21" s="1"/>
      <c r="AR21" s="1"/>
      <c r="AS21" s="1"/>
    </row>
    <row r="22" spans="5:45" ht="27" customHeight="1" x14ac:dyDescent="0.25">
      <c r="E22" s="48" t="str">
        <f>Z12</f>
        <v xml:space="preserve">&lt;checklist/&gt;&amp;nbsp;&amp;nbsp;&amp;nbsp;&amp;nbsp;&amp;nbsp;Crema de avellanas : 3 tarros 350 gr ''(Líder)''&lt;/span&gt;&lt;br&gt;&lt;br&gt;
&lt;checklist/&gt;&amp;nbsp;&amp;nbsp;&amp;nbsp;&amp;nbsp;&amp;nbsp;Té: 9 bolsas* ''(a elección*)''&lt;/span&gt;&lt;br&gt;&lt;br&gt;
</v>
      </c>
      <c r="F22" s="89"/>
      <c r="G22" s="90"/>
      <c r="H22" s="91">
        <f>+J22+K22+L22</f>
        <v>93.7</v>
      </c>
      <c r="I22" s="91" t="s">
        <v>19</v>
      </c>
      <c r="J22" s="91">
        <v>70</v>
      </c>
      <c r="K22" s="91">
        <v>4.7</v>
      </c>
      <c r="L22" s="91">
        <v>19</v>
      </c>
      <c r="M22" s="92">
        <f>+L22/(L22+K22+J22)</f>
        <v>0.20277481323372465</v>
      </c>
      <c r="N22" s="91">
        <v>126</v>
      </c>
      <c r="O22" s="91" t="str">
        <f>IF(S22=1,"paquete","paquetes")</f>
        <v>paquetes</v>
      </c>
      <c r="P22" s="91"/>
      <c r="Q22" s="91" t="s">
        <v>14</v>
      </c>
      <c r="R22" s="93"/>
      <c r="S22" s="90" t="str">
        <f>+IF(R22&lt;&gt;"",R22*$F$5,"")</f>
        <v/>
      </c>
      <c r="T22" s="90" t="str">
        <f>+IF(S22&lt;&gt;"",S22*N22,"")</f>
        <v/>
      </c>
      <c r="U22" s="90" t="str">
        <f>+IF(T22&lt;&gt;"",T22*J22/100,"")</f>
        <v/>
      </c>
      <c r="V22" s="90" t="str">
        <f>+IF(T22&lt;&gt;"",T22*K22/100,"")</f>
        <v/>
      </c>
      <c r="W22" s="90" t="str">
        <f>+IF(T22&lt;&gt;"",T22*L22/100,"")</f>
        <v/>
      </c>
      <c r="X22" s="94"/>
      <c r="Y22" s="3" t="str">
        <f>IF(S22&lt;&gt;"",CONCATENATE("&lt;checklist/&gt;&amp;nbsp;&amp;nbsp;&amp;nbsp;&amp;nbsp;&amp;nbsp;",I22,": ",S22, " ",O22,P22,$Y$4, " ''(",Q22,")''&lt;/span&gt;&lt;br&gt;&lt;br&gt;"),"")</f>
        <v/>
      </c>
      <c r="Z22" s="3" t="str">
        <f t="shared" si="0"/>
        <v xml:space="preserve">&lt;checklist/&gt;&amp;nbsp;&amp;nbsp;&amp;nbsp;&amp;nbsp;&amp;nbsp;Salame: 9 lonjas ''(laminado Líder)''&lt;/span&gt;&lt;br&gt;&lt;br&gt;
&lt;checklist/&gt;&amp;nbsp;&amp;nbsp;&amp;nbsp;&amp;nbsp;&amp;nbsp;Jugo sin azúcar añadida: 12 sobres ''(Vivo Herbal)''&lt;/span&gt;&lt;br&gt;&lt;br&gt;
</v>
      </c>
      <c r="AA22" s="3"/>
      <c r="AB22" s="3"/>
      <c r="AC22" s="3"/>
      <c r="AD22" s="3"/>
      <c r="AE22" s="3"/>
      <c r="AF22" s="1"/>
      <c r="AG22" s="1"/>
      <c r="AH22" s="1"/>
      <c r="AI22" s="1"/>
      <c r="AJ22" s="1"/>
      <c r="AK22" s="1"/>
      <c r="AL22" s="1"/>
      <c r="AM22" s="1"/>
      <c r="AN22" s="1"/>
      <c r="AO22" s="1"/>
      <c r="AP22" s="1"/>
      <c r="AQ22" s="1"/>
      <c r="AR22" s="1"/>
      <c r="AS22" s="1"/>
    </row>
    <row r="23" spans="5:45" ht="27" customHeight="1" x14ac:dyDescent="0.25">
      <c r="E23" s="47" t="str">
        <f>CONCATENATE("===Ración de marcha===")</f>
        <v>===Ración de marcha===</v>
      </c>
      <c r="F23" s="89"/>
      <c r="G23" s="90"/>
      <c r="H23" s="91">
        <f>+J23+K23+L23</f>
        <v>96.4</v>
      </c>
      <c r="I23" s="91" t="s">
        <v>18</v>
      </c>
      <c r="J23" s="91">
        <v>67</v>
      </c>
      <c r="K23" s="91">
        <v>5.4</v>
      </c>
      <c r="L23" s="91">
        <v>24</v>
      </c>
      <c r="M23" s="92">
        <f>+L23/(L23+K23+J23)</f>
        <v>0.24896265560165973</v>
      </c>
      <c r="N23" s="91">
        <v>100</v>
      </c>
      <c r="O23" s="91" t="str">
        <f>IF(S23=1,"paquete","paquetes")</f>
        <v>paquetes</v>
      </c>
      <c r="P23" s="91"/>
      <c r="Q23" s="91" t="s">
        <v>15</v>
      </c>
      <c r="R23" s="93"/>
      <c r="S23" s="90" t="str">
        <f>+IF(R23&lt;&gt;"",R23*$F$5,"")</f>
        <v/>
      </c>
      <c r="T23" s="90" t="str">
        <f>+IF(S23&lt;&gt;"",S23*N23,"")</f>
        <v/>
      </c>
      <c r="U23" s="90" t="str">
        <f>+IF(T23&lt;&gt;"",T23*J23/100,"")</f>
        <v/>
      </c>
      <c r="V23" s="90" t="str">
        <f>+IF(T23&lt;&gt;"",T23*K23/100,"")</f>
        <v/>
      </c>
      <c r="W23" s="90" t="str">
        <f>+IF(T23&lt;&gt;"",T23*L23/100,"")</f>
        <v/>
      </c>
      <c r="X23" s="94"/>
      <c r="Y23" s="3" t="str">
        <f>IF(S23&lt;&gt;"",CONCATENATE("&lt;checklist/&gt;&amp;nbsp;&amp;nbsp;&amp;nbsp;&amp;nbsp;&amp;nbsp;",I23,": ",S23, " ",O23,P23,$Y$4, " ''(",Q23,")''&lt;/span&gt;&lt;br&gt;&lt;br&gt;"),"")</f>
        <v/>
      </c>
      <c r="Z23" s="3" t="str">
        <f t="shared" si="0"/>
        <v xml:space="preserve">&lt;checklist/&gt;&amp;nbsp;&amp;nbsp;&amp;nbsp;&amp;nbsp;&amp;nbsp;Salame: 9 lonjas ''(laminado Líder)''&lt;/span&gt;&lt;br&gt;&lt;br&gt;
&lt;checklist/&gt;&amp;nbsp;&amp;nbsp;&amp;nbsp;&amp;nbsp;&amp;nbsp;Jugo sin azúcar añadida: 12 sobres ''(Vivo Herbal)''&lt;/span&gt;&lt;br&gt;&lt;br&gt;
</v>
      </c>
      <c r="AA23" s="3"/>
      <c r="AB23" s="3"/>
      <c r="AC23" s="3"/>
      <c r="AD23" s="3"/>
      <c r="AE23" s="3"/>
      <c r="AF23" s="1"/>
      <c r="AG23" s="1"/>
      <c r="AH23" s="1"/>
      <c r="AI23" s="1"/>
      <c r="AJ23" s="1"/>
      <c r="AK23" s="1"/>
      <c r="AL23" s="1"/>
      <c r="AM23" s="1"/>
      <c r="AN23" s="1"/>
      <c r="AO23" s="1"/>
      <c r="AP23" s="1"/>
      <c r="AQ23" s="1"/>
      <c r="AR23" s="1"/>
      <c r="AS23" s="1"/>
    </row>
    <row r="24" spans="5:45" ht="27" customHeight="1" x14ac:dyDescent="0.25">
      <c r="E24" s="48" t="str">
        <f>Z33</f>
        <v xml:space="preserve">&lt;checklist/&gt;&amp;nbsp;&amp;nbsp;&amp;nbsp;&amp;nbsp;&amp;nbsp;Salame: 9 lonjas ''(laminado Líder)''&lt;/span&gt;&lt;br&gt;&lt;br&gt;
&lt;checklist/&gt;&amp;nbsp;&amp;nbsp;&amp;nbsp;&amp;nbsp;&amp;nbsp;Jugo sin azúcar añadida: 12 sobres ''(Vivo Herbal)''&lt;/span&gt;&lt;br&gt;&lt;br&gt;
</v>
      </c>
      <c r="F24" s="89"/>
      <c r="G24" s="90"/>
      <c r="H24" s="91">
        <f>+J24+K24+L24</f>
        <v>95.3</v>
      </c>
      <c r="I24" s="91" t="s">
        <v>18</v>
      </c>
      <c r="J24" s="91">
        <v>57</v>
      </c>
      <c r="K24" s="91">
        <v>8.3000000000000007</v>
      </c>
      <c r="L24" s="91">
        <v>30</v>
      </c>
      <c r="M24" s="92">
        <f>+L24/(L24+K24+J24)</f>
        <v>0.31479538300104931</v>
      </c>
      <c r="N24" s="91">
        <v>95</v>
      </c>
      <c r="O24" s="91" t="str">
        <f>IF(S24=1,"paquete","paquetes")</f>
        <v>paquetes</v>
      </c>
      <c r="P24" s="91"/>
      <c r="Q24" s="91" t="s">
        <v>17</v>
      </c>
      <c r="R24" s="93"/>
      <c r="S24" s="90" t="str">
        <f>+IF(R24&lt;&gt;"",R24*$F$5,"")</f>
        <v/>
      </c>
      <c r="T24" s="90" t="str">
        <f>+IF(S24&lt;&gt;"",S24*N24,"")</f>
        <v/>
      </c>
      <c r="U24" s="90" t="str">
        <f>+IF(T24&lt;&gt;"",T24*J24/100,"")</f>
        <v/>
      </c>
      <c r="V24" s="90" t="str">
        <f>+IF(T24&lt;&gt;"",T24*K24/100,"")</f>
        <v/>
      </c>
      <c r="W24" s="90" t="str">
        <f>+IF(T24&lt;&gt;"",T24*L24/100,"")</f>
        <v/>
      </c>
      <c r="X24" s="94"/>
      <c r="Y24" s="3" t="str">
        <f>IF(S24&lt;&gt;"",CONCATENATE("&lt;checklist/&gt;&amp;nbsp;&amp;nbsp;&amp;nbsp;&amp;nbsp;&amp;nbsp;",I24,": ",S24, " ",O24,P24,$Y$4, " ''(",Q24,")''&lt;/span&gt;&lt;br&gt;&lt;br&gt;"),"")</f>
        <v/>
      </c>
      <c r="Z24" s="3" t="str">
        <f t="shared" si="0"/>
        <v xml:space="preserve">&lt;checklist/&gt;&amp;nbsp;&amp;nbsp;&amp;nbsp;&amp;nbsp;&amp;nbsp;Salame: 9 lonjas ''(laminado Líder)''&lt;/span&gt;&lt;br&gt;&lt;br&gt;
&lt;checklist/&gt;&amp;nbsp;&amp;nbsp;&amp;nbsp;&amp;nbsp;&amp;nbsp;Jugo sin azúcar añadida: 12 sobres ''(Vivo Herbal)''&lt;/span&gt;&lt;br&gt;&lt;br&gt;
</v>
      </c>
      <c r="AA24" s="3"/>
      <c r="AB24" s="3"/>
      <c r="AC24" s="3"/>
      <c r="AD24" s="3"/>
      <c r="AE24" s="3"/>
      <c r="AF24" s="1"/>
      <c r="AG24" s="1"/>
      <c r="AH24" s="1"/>
      <c r="AI24" s="1"/>
      <c r="AJ24" s="1"/>
      <c r="AK24" s="1"/>
      <c r="AL24" s="1"/>
      <c r="AM24" s="1"/>
      <c r="AN24" s="1"/>
      <c r="AO24" s="1"/>
      <c r="AP24" s="1"/>
      <c r="AQ24" s="1"/>
      <c r="AR24" s="1"/>
      <c r="AS24" s="1"/>
    </row>
    <row r="25" spans="5:45" ht="27" customHeight="1" x14ac:dyDescent="0.25">
      <c r="E25" s="47" t="str">
        <f>CONCATENATE("===Cena===")</f>
        <v>===Cena===</v>
      </c>
      <c r="F25" s="89"/>
      <c r="G25" s="90"/>
      <c r="H25" s="91">
        <f>+J25+K25+L25</f>
        <v>87</v>
      </c>
      <c r="I25" s="91" t="s">
        <v>1</v>
      </c>
      <c r="J25" s="91">
        <v>12.9</v>
      </c>
      <c r="K25" s="91">
        <v>24.4</v>
      </c>
      <c r="L25" s="91">
        <v>49.7</v>
      </c>
      <c r="M25" s="92">
        <f>+L25/(L25+K25+J25)</f>
        <v>0.57126436781609202</v>
      </c>
      <c r="N25" s="91">
        <v>180</v>
      </c>
      <c r="O25" s="91" t="str">
        <f>IF(S25=1,"paquete 180 gr","paquetes 180gr")</f>
        <v>paquetes 180gr</v>
      </c>
      <c r="P25" s="91"/>
      <c r="Q25" s="91" t="s">
        <v>43</v>
      </c>
      <c r="R25" s="93"/>
      <c r="S25" s="90" t="str">
        <f>+IF(R25&lt;&gt;"",R25*$F$5,"")</f>
        <v/>
      </c>
      <c r="T25" s="90" t="str">
        <f>+IF(S25&lt;&gt;"",S25*N25,"")</f>
        <v/>
      </c>
      <c r="U25" s="90" t="str">
        <f>+IF(T25&lt;&gt;"",T25*J25/100,"")</f>
        <v/>
      </c>
      <c r="V25" s="90" t="str">
        <f>+IF(T25&lt;&gt;"",T25*K25/100,"")</f>
        <v/>
      </c>
      <c r="W25" s="90" t="str">
        <f>+IF(T25&lt;&gt;"",T25*L25/100,"")</f>
        <v/>
      </c>
      <c r="X25" s="94"/>
      <c r="Y25" s="3" t="str">
        <f>IF(S25&lt;&gt;"",CONCATENATE("&lt;checklist/&gt;&amp;nbsp;&amp;nbsp;&amp;nbsp;&amp;nbsp;&amp;nbsp;",I25,": ",S25, " ",O25,P25,$Y$4, " ''(",Q25,")''&lt;/span&gt;&lt;br&gt;&lt;br&gt;"),"")</f>
        <v/>
      </c>
      <c r="Z25" s="3" t="str">
        <f t="shared" si="0"/>
        <v xml:space="preserve">&lt;checklist/&gt;&amp;nbsp;&amp;nbsp;&amp;nbsp;&amp;nbsp;&amp;nbsp;Salame: 9 lonjas ''(laminado Líder)''&lt;/span&gt;&lt;br&gt;&lt;br&gt;
&lt;checklist/&gt;&amp;nbsp;&amp;nbsp;&amp;nbsp;&amp;nbsp;&amp;nbsp;Jugo sin azúcar añadida: 12 sobres ''(Vivo Herbal)''&lt;/span&gt;&lt;br&gt;&lt;br&gt;
</v>
      </c>
      <c r="AA25" s="3"/>
      <c r="AB25" s="3"/>
      <c r="AC25" s="3"/>
      <c r="AD25" s="3"/>
      <c r="AE25" s="3"/>
      <c r="AF25" s="1"/>
      <c r="AG25" s="1"/>
      <c r="AH25" s="1"/>
      <c r="AI25" s="1"/>
      <c r="AJ25" s="1"/>
      <c r="AK25" s="1"/>
      <c r="AL25" s="1"/>
      <c r="AM25" s="1"/>
      <c r="AN25" s="1"/>
      <c r="AO25" s="1"/>
      <c r="AP25" s="1"/>
      <c r="AQ25" s="1"/>
      <c r="AR25" s="1"/>
      <c r="AS25" s="1"/>
    </row>
    <row r="26" spans="5:45" ht="27" customHeight="1" x14ac:dyDescent="0.25">
      <c r="E26" s="48" t="str">
        <f>Z49</f>
        <v xml:space="preserve">&lt;checklist/&gt;&amp;nbsp;&amp;nbsp;&amp;nbsp;&amp;nbsp;&amp;nbsp;Ravioles ricotta espinaca: 12 paquetes 400 gr ''(Líder)''&lt;/span&gt;&lt;br&gt;&lt;br&gt;
&lt;checklist/&gt;&amp;nbsp;&amp;nbsp;&amp;nbsp;&amp;nbsp;&amp;nbsp;Atún en aceite: 15 tarros 340 gr ''(Líder)''&lt;/span&gt;&lt;br&gt;&lt;br&gt;
</v>
      </c>
      <c r="F26" s="89"/>
      <c r="G26" s="90"/>
      <c r="H26" s="91">
        <f>+J26+K26+L26</f>
        <v>98.8</v>
      </c>
      <c r="I26" s="91" t="s">
        <v>4</v>
      </c>
      <c r="J26" s="91">
        <v>60</v>
      </c>
      <c r="K26" s="91">
        <v>8.3000000000000007</v>
      </c>
      <c r="L26" s="91">
        <v>30.5</v>
      </c>
      <c r="M26" s="92">
        <f>+L26/(L26+K26+J26)</f>
        <v>0.30870445344129555</v>
      </c>
      <c r="N26" s="91">
        <v>150</v>
      </c>
      <c r="O26" s="91" t="str">
        <f>IF(S26=1,"barra","barras")</f>
        <v>barras</v>
      </c>
      <c r="P26" s="91"/>
      <c r="Q26" s="91" t="s">
        <v>5</v>
      </c>
      <c r="R26" s="93"/>
      <c r="S26" s="90" t="str">
        <f>+IF(R26&lt;&gt;"",R26*$F$5,"")</f>
        <v/>
      </c>
      <c r="T26" s="90" t="str">
        <f>+IF(S26&lt;&gt;"",S26*N26,"")</f>
        <v/>
      </c>
      <c r="U26" s="90" t="str">
        <f>+IF(T26&lt;&gt;"",T26*J26/100,"")</f>
        <v/>
      </c>
      <c r="V26" s="90" t="str">
        <f>+IF(T26&lt;&gt;"",T26*K26/100,"")</f>
        <v/>
      </c>
      <c r="W26" s="90" t="str">
        <f>+IF(T26&lt;&gt;"",T26*L26/100,"")</f>
        <v/>
      </c>
      <c r="X26" s="94"/>
      <c r="Y26" s="3" t="str">
        <f>IF(S26&lt;&gt;"",CONCATENATE("&lt;checklist/&gt;&amp;nbsp;&amp;nbsp;&amp;nbsp;&amp;nbsp;&amp;nbsp;",I26,": ",S26, " ",O26,P26,$Y$4, " ''(",Q26,")''&lt;/span&gt;&lt;br&gt;&lt;br&gt;"),"")</f>
        <v/>
      </c>
      <c r="Z26" s="3" t="str">
        <f t="shared" si="0"/>
        <v xml:space="preserve">&lt;checklist/&gt;&amp;nbsp;&amp;nbsp;&amp;nbsp;&amp;nbsp;&amp;nbsp;Salame: 9 lonjas ''(laminado Líder)''&lt;/span&gt;&lt;br&gt;&lt;br&gt;
&lt;checklist/&gt;&amp;nbsp;&amp;nbsp;&amp;nbsp;&amp;nbsp;&amp;nbsp;Jugo sin azúcar añadida: 12 sobres ''(Vivo Herbal)''&lt;/span&gt;&lt;br&gt;&lt;br&gt;
</v>
      </c>
      <c r="AA26" s="3"/>
      <c r="AB26" s="3"/>
      <c r="AC26" s="3"/>
      <c r="AD26" s="3"/>
      <c r="AE26" s="3"/>
      <c r="AF26" s="1"/>
      <c r="AG26" s="1"/>
      <c r="AH26" s="1"/>
      <c r="AI26" s="1"/>
      <c r="AJ26" s="1"/>
      <c r="AK26" s="1"/>
      <c r="AL26" s="1"/>
      <c r="AM26" s="1"/>
      <c r="AN26" s="1"/>
      <c r="AO26" s="1"/>
      <c r="AP26" s="1"/>
      <c r="AQ26" s="1"/>
      <c r="AR26" s="1"/>
      <c r="AS26" s="1"/>
    </row>
    <row r="27" spans="5:45" ht="27" customHeight="1" x14ac:dyDescent="0.25">
      <c r="E27" s="46" t="s">
        <v>79</v>
      </c>
      <c r="F27" s="89"/>
      <c r="G27" s="90">
        <f>(+J27*4+K27*4+L27*9)*N27/100</f>
        <v>628.2360000000001</v>
      </c>
      <c r="H27" s="91">
        <f>+J27+K27+L27</f>
        <v>96.9</v>
      </c>
      <c r="I27" s="91" t="s">
        <v>33</v>
      </c>
      <c r="J27" s="91">
        <v>69.7</v>
      </c>
      <c r="K27" s="91">
        <v>5</v>
      </c>
      <c r="L27" s="91">
        <v>22.2</v>
      </c>
      <c r="M27" s="92">
        <f>+L27/(L27+K27+J27)</f>
        <v>0.22910216718266252</v>
      </c>
      <c r="N27" s="91">
        <v>126</v>
      </c>
      <c r="O27" s="91" t="str">
        <f>IF(S27=1,"paquete","paquetes")</f>
        <v>paquetes</v>
      </c>
      <c r="P27" s="91"/>
      <c r="Q27" s="91" t="s">
        <v>34</v>
      </c>
      <c r="R27" s="93"/>
      <c r="S27" s="90" t="str">
        <f>+IF(R27&lt;&gt;"",R27*$F$5,"")</f>
        <v/>
      </c>
      <c r="T27" s="90" t="str">
        <f>+IF(S27&lt;&gt;"",S27*N27,"")</f>
        <v/>
      </c>
      <c r="U27" s="90" t="str">
        <f>+IF(T27&lt;&gt;"",T27*J27/100,"")</f>
        <v/>
      </c>
      <c r="V27" s="90" t="str">
        <f>+IF(T27&lt;&gt;"",T27*K27/100,"")</f>
        <v/>
      </c>
      <c r="W27" s="90" t="str">
        <f>+IF(T27&lt;&gt;"",T27*L27/100,"")</f>
        <v/>
      </c>
      <c r="X27" s="94"/>
      <c r="Y27" s="3" t="str">
        <f>IF(S27&lt;&gt;"",CONCATENATE("&lt;checklist/&gt;&amp;nbsp;&amp;nbsp;&amp;nbsp;&amp;nbsp;&amp;nbsp;",I27,": ",S27, " ",O27,P27,$Y$4, " ''(",Q27,")''&lt;/span&gt;&lt;br&gt;&lt;br&gt;"),"")</f>
        <v/>
      </c>
      <c r="Z27" s="3" t="str">
        <f t="shared" si="0"/>
        <v xml:space="preserve">&lt;checklist/&gt;&amp;nbsp;&amp;nbsp;&amp;nbsp;&amp;nbsp;&amp;nbsp;Salame: 9 lonjas ''(laminado Líder)''&lt;/span&gt;&lt;br&gt;&lt;br&gt;
&lt;checklist/&gt;&amp;nbsp;&amp;nbsp;&amp;nbsp;&amp;nbsp;&amp;nbsp;Jugo sin azúcar añadida: 12 sobres ''(Vivo Herbal)''&lt;/span&gt;&lt;br&gt;&lt;br&gt;
</v>
      </c>
      <c r="AA27" s="3"/>
      <c r="AB27" s="3"/>
      <c r="AC27" s="3"/>
      <c r="AD27" s="3"/>
      <c r="AE27" s="3"/>
      <c r="AF27" s="1"/>
      <c r="AG27" s="1"/>
      <c r="AH27" s="1"/>
      <c r="AI27" s="1"/>
      <c r="AJ27" s="1"/>
      <c r="AK27" s="1"/>
      <c r="AL27" s="1"/>
      <c r="AM27" s="1"/>
      <c r="AN27" s="1"/>
      <c r="AO27" s="1"/>
      <c r="AP27" s="1"/>
      <c r="AQ27" s="1"/>
      <c r="AR27" s="1"/>
      <c r="AS27" s="1"/>
    </row>
    <row r="28" spans="5:45" ht="27" customHeight="1" x14ac:dyDescent="0.25">
      <c r="E28" s="7"/>
      <c r="F28" s="89"/>
      <c r="G28" s="90">
        <f>(+J28*4+K28*4+L28*9)*N28/100</f>
        <v>628.93999999999994</v>
      </c>
      <c r="H28" s="91">
        <f>+J28+K28+L28</f>
        <v>94.699999999999989</v>
      </c>
      <c r="I28" s="91" t="s">
        <v>33</v>
      </c>
      <c r="J28" s="91">
        <v>69.099999999999994</v>
      </c>
      <c r="K28" s="91">
        <v>4.5999999999999996</v>
      </c>
      <c r="L28" s="91">
        <v>21</v>
      </c>
      <c r="M28" s="92">
        <f>+L28/(L28+K28+J28)</f>
        <v>0.221752903907075</v>
      </c>
      <c r="N28" s="91">
        <v>130</v>
      </c>
      <c r="O28" s="91" t="str">
        <f>IF(S28=1,"paquete","paquetes")</f>
        <v>paquetes</v>
      </c>
      <c r="P28" s="91"/>
      <c r="Q28" s="91" t="s">
        <v>35</v>
      </c>
      <c r="R28" s="93"/>
      <c r="S28" s="90" t="str">
        <f>+IF(R28&lt;&gt;"",R28*$F$5,"")</f>
        <v/>
      </c>
      <c r="T28" s="90" t="str">
        <f>+IF(S28&lt;&gt;"",S28*N28,"")</f>
        <v/>
      </c>
      <c r="U28" s="90" t="str">
        <f>+IF(T28&lt;&gt;"",T28*J28/100,"")</f>
        <v/>
      </c>
      <c r="V28" s="90" t="str">
        <f>+IF(T28&lt;&gt;"",T28*K28/100,"")</f>
        <v/>
      </c>
      <c r="W28" s="90" t="str">
        <f>+IF(T28&lt;&gt;"",T28*L28/100,"")</f>
        <v/>
      </c>
      <c r="X28" s="94"/>
      <c r="Y28" s="3" t="str">
        <f>IF(S28&lt;&gt;"",CONCATENATE("&lt;checklist/&gt;&amp;nbsp;&amp;nbsp;&amp;nbsp;&amp;nbsp;&amp;nbsp;",I28,": ",S28, " ",O28,P28,$Y$4, " ''(",Q28,")''&lt;/span&gt;&lt;br&gt;&lt;br&gt;"),"")</f>
        <v/>
      </c>
      <c r="Z28" s="3" t="str">
        <f t="shared" si="0"/>
        <v xml:space="preserve">&lt;checklist/&gt;&amp;nbsp;&amp;nbsp;&amp;nbsp;&amp;nbsp;&amp;nbsp;Salame: 9 lonjas ''(laminado Líder)''&lt;/span&gt;&lt;br&gt;&lt;br&gt;
&lt;checklist/&gt;&amp;nbsp;&amp;nbsp;&amp;nbsp;&amp;nbsp;&amp;nbsp;Jugo sin azúcar añadida: 12 sobres ''(Vivo Herbal)''&lt;/span&gt;&lt;br&gt;&lt;br&gt;
</v>
      </c>
      <c r="AA28" s="3"/>
      <c r="AB28" s="3"/>
      <c r="AC28" s="3"/>
      <c r="AD28" s="3"/>
      <c r="AE28" s="3"/>
      <c r="AF28" s="1"/>
      <c r="AG28" s="1"/>
      <c r="AH28" s="1"/>
      <c r="AI28" s="1"/>
      <c r="AJ28" s="1"/>
      <c r="AK28" s="1"/>
      <c r="AL28" s="1"/>
      <c r="AM28" s="1"/>
      <c r="AN28" s="1"/>
      <c r="AO28" s="1"/>
      <c r="AP28" s="1"/>
      <c r="AQ28" s="1"/>
      <c r="AR28" s="1"/>
      <c r="AS28" s="1"/>
    </row>
    <row r="29" spans="5:45" ht="27" customHeight="1" x14ac:dyDescent="0.25">
      <c r="E29" s="7"/>
      <c r="F29" s="89"/>
      <c r="G29" s="90">
        <f>(+J29*4+K29*4+L29*9)*N29/100</f>
        <v>146.53799999999998</v>
      </c>
      <c r="H29" s="91">
        <f>+J29+K29+L29</f>
        <v>72.099999999999994</v>
      </c>
      <c r="I29" s="91" t="s">
        <v>45</v>
      </c>
      <c r="J29" s="91">
        <v>24</v>
      </c>
      <c r="K29" s="91">
        <v>36</v>
      </c>
      <c r="L29" s="91">
        <v>12.1</v>
      </c>
      <c r="M29" s="92">
        <f>+L29/(L29+K29+J29)</f>
        <v>0.16782246879334259</v>
      </c>
      <c r="N29" s="91">
        <v>42</v>
      </c>
      <c r="O29" s="91" t="str">
        <f>IF(S29=1,"barra","barras")</f>
        <v>barras</v>
      </c>
      <c r="P29" s="91"/>
      <c r="Q29" s="91" t="s">
        <v>81</v>
      </c>
      <c r="R29" s="93"/>
      <c r="S29" s="90" t="str">
        <f>+IF(R29&lt;&gt;"",R29*$F$5,"")</f>
        <v/>
      </c>
      <c r="T29" s="90" t="str">
        <f>+IF(S29&lt;&gt;"",S29*N29,"")</f>
        <v/>
      </c>
      <c r="U29" s="90" t="str">
        <f>+IF(T29&lt;&gt;"",T29*J29/100,"")</f>
        <v/>
      </c>
      <c r="V29" s="90" t="str">
        <f>+IF(T29&lt;&gt;"",T29*K29/100,"")</f>
        <v/>
      </c>
      <c r="W29" s="90" t="str">
        <f>+IF(T29&lt;&gt;"",T29*L29/100,"")</f>
        <v/>
      </c>
      <c r="X29" s="94"/>
      <c r="Y29" s="3" t="str">
        <f>IF(S29&lt;&gt;"",CONCATENATE("&lt;checklist/&gt;&amp;nbsp;&amp;nbsp;&amp;nbsp;&amp;nbsp;&amp;nbsp;",I29,": ",S29, " ",O29,P29,$Y$4, " ''(",Q29,")''&lt;/span&gt;&lt;br&gt;&lt;br&gt;"),"")</f>
        <v/>
      </c>
      <c r="Z29" s="3" t="str">
        <f t="shared" si="0"/>
        <v xml:space="preserve">&lt;checklist/&gt;&amp;nbsp;&amp;nbsp;&amp;nbsp;&amp;nbsp;&amp;nbsp;Salame: 9 lonjas ''(laminado Líder)''&lt;/span&gt;&lt;br&gt;&lt;br&gt;
&lt;checklist/&gt;&amp;nbsp;&amp;nbsp;&amp;nbsp;&amp;nbsp;&amp;nbsp;Jugo sin azúcar añadida: 12 sobres ''(Vivo Herbal)''&lt;/span&gt;&lt;br&gt;&lt;br&gt;
</v>
      </c>
      <c r="AA29" s="3"/>
      <c r="AB29" s="3"/>
      <c r="AC29" s="3"/>
      <c r="AD29" s="3"/>
      <c r="AE29" s="3"/>
      <c r="AF29" s="1"/>
      <c r="AG29" s="1"/>
      <c r="AH29" s="1"/>
      <c r="AI29" s="1"/>
      <c r="AJ29" s="1"/>
      <c r="AK29" s="1"/>
      <c r="AL29" s="1"/>
      <c r="AM29" s="1"/>
      <c r="AN29" s="1"/>
      <c r="AO29" s="1"/>
      <c r="AP29" s="1"/>
      <c r="AQ29" s="1"/>
      <c r="AR29" s="1"/>
      <c r="AS29" s="1"/>
    </row>
    <row r="30" spans="5:45" ht="27" customHeight="1" x14ac:dyDescent="0.25">
      <c r="E30" s="7"/>
      <c r="F30" s="89"/>
      <c r="G30" s="90">
        <f>(+J30*4+K30*4+L30*9)*N30/100</f>
        <v>635.24999999999989</v>
      </c>
      <c r="H30" s="91">
        <f>+J30+K30+L30</f>
        <v>41.4</v>
      </c>
      <c r="I30" s="91" t="s">
        <v>46</v>
      </c>
      <c r="J30" s="91">
        <v>6</v>
      </c>
      <c r="K30" s="91">
        <v>17.7</v>
      </c>
      <c r="L30" s="91">
        <v>17.7</v>
      </c>
      <c r="M30" s="92">
        <f>+L30/(L30+K30+J30)</f>
        <v>0.42753623188405798</v>
      </c>
      <c r="N30" s="91">
        <v>250</v>
      </c>
      <c r="O30" s="91" t="str">
        <f>IF(S30=1,"unidad 250 gr","unidades 250 gr")</f>
        <v>unidades 250 gr</v>
      </c>
      <c r="P30" s="91"/>
      <c r="Q30" s="91" t="s">
        <v>47</v>
      </c>
      <c r="R30" s="93"/>
      <c r="S30" s="90" t="str">
        <f>+IF(R30&lt;&gt;"",R30*$F$5,"")</f>
        <v/>
      </c>
      <c r="T30" s="90" t="str">
        <f>+IF(S30&lt;&gt;"",S30*N30,"")</f>
        <v/>
      </c>
      <c r="U30" s="90" t="str">
        <f>+IF(T30&lt;&gt;"",T30*J30/100,"")</f>
        <v/>
      </c>
      <c r="V30" s="90" t="str">
        <f>+IF(T30&lt;&gt;"",T30*K30/100,"")</f>
        <v/>
      </c>
      <c r="W30" s="90" t="str">
        <f>+IF(T30&lt;&gt;"",T30*L30/100,"")</f>
        <v/>
      </c>
      <c r="X30" s="94"/>
      <c r="Y30" s="3" t="str">
        <f>IF(S30&lt;&gt;"",CONCATENATE("&lt;checklist/&gt;&amp;nbsp;&amp;nbsp;&amp;nbsp;&amp;nbsp;&amp;nbsp;",I30,": ",S30, " ",O30,P30,$Y$4, " ''(",Q30,")''&lt;/span&gt;&lt;br&gt;&lt;br&gt;"),"")</f>
        <v/>
      </c>
      <c r="Z30" s="3" t="str">
        <f t="shared" si="0"/>
        <v xml:space="preserve">&lt;checklist/&gt;&amp;nbsp;&amp;nbsp;&amp;nbsp;&amp;nbsp;&amp;nbsp;Salame: 9 lonjas ''(laminado Líder)''&lt;/span&gt;&lt;br&gt;&lt;br&gt;
&lt;checklist/&gt;&amp;nbsp;&amp;nbsp;&amp;nbsp;&amp;nbsp;&amp;nbsp;Jugo sin azúcar añadida: 12 sobres ''(Vivo Herbal)''&lt;/span&gt;&lt;br&gt;&lt;br&gt;
</v>
      </c>
      <c r="AA30" s="3"/>
      <c r="AB30" s="3"/>
      <c r="AC30" s="3"/>
      <c r="AD30" s="3"/>
      <c r="AE30" s="3"/>
      <c r="AF30" s="1"/>
      <c r="AG30" s="1"/>
      <c r="AH30" s="1"/>
      <c r="AI30" s="1"/>
      <c r="AJ30" s="1"/>
      <c r="AK30" s="1"/>
      <c r="AL30" s="1"/>
      <c r="AM30" s="1"/>
      <c r="AN30" s="1"/>
      <c r="AO30" s="1"/>
      <c r="AP30" s="1"/>
      <c r="AQ30" s="1"/>
      <c r="AR30" s="1"/>
      <c r="AS30" s="1"/>
    </row>
    <row r="31" spans="5:45" ht="27" customHeight="1" x14ac:dyDescent="0.25">
      <c r="E31" s="7"/>
      <c r="F31" s="89"/>
      <c r="G31" s="90">
        <f>(+J31*4+K31*4+L31*9)*N31/100</f>
        <v>146.4</v>
      </c>
      <c r="H31" s="91">
        <f>+J31+K31+L31</f>
        <v>51</v>
      </c>
      <c r="I31" s="91" t="s">
        <v>56</v>
      </c>
      <c r="J31" s="91">
        <v>23</v>
      </c>
      <c r="K31" s="91">
        <v>20</v>
      </c>
      <c r="L31" s="91">
        <v>8</v>
      </c>
      <c r="M31" s="92">
        <f>+L31/(L31+K31+J31)</f>
        <v>0.15686274509803921</v>
      </c>
      <c r="N31" s="91">
        <v>60</v>
      </c>
      <c r="O31" s="91" t="str">
        <f>IF(S31=1,"barra","barras")</f>
        <v>barras</v>
      </c>
      <c r="P31" s="91"/>
      <c r="Q31" s="91" t="s">
        <v>57</v>
      </c>
      <c r="R31" s="93"/>
      <c r="S31" s="90" t="str">
        <f>+IF(R31&lt;&gt;"",R31*$F$5,"")</f>
        <v/>
      </c>
      <c r="T31" s="90" t="str">
        <f>+IF(S31&lt;&gt;"",S31*N31,"")</f>
        <v/>
      </c>
      <c r="U31" s="90" t="str">
        <f>+IF(T31&lt;&gt;"",T31*J31/100,"")</f>
        <v/>
      </c>
      <c r="V31" s="90" t="str">
        <f>+IF(T31&lt;&gt;"",T31*K31/100,"")</f>
        <v/>
      </c>
      <c r="W31" s="90" t="str">
        <f>+IF(T31&lt;&gt;"",T31*L31/100,"")</f>
        <v/>
      </c>
      <c r="X31" s="94"/>
      <c r="Y31" s="3" t="str">
        <f>IF(S31&lt;&gt;"",CONCATENATE("&lt;checklist/&gt;&amp;nbsp;&amp;nbsp;&amp;nbsp;&amp;nbsp;&amp;nbsp;",I31,": ",S31, " ",O31,P31,$Y$4, " ''(",Q31,")''&lt;/span&gt;&lt;br&gt;&lt;br&gt;"),"")</f>
        <v/>
      </c>
      <c r="Z31" s="3" t="str">
        <f t="shared" si="0"/>
        <v xml:space="preserve">&lt;checklist/&gt;&amp;nbsp;&amp;nbsp;&amp;nbsp;&amp;nbsp;&amp;nbsp;Salame: 9 lonjas ''(laminado Líder)''&lt;/span&gt;&lt;br&gt;&lt;br&gt;
&lt;checklist/&gt;&amp;nbsp;&amp;nbsp;&amp;nbsp;&amp;nbsp;&amp;nbsp;Jugo sin azúcar añadida: 12 sobres ''(Vivo Herbal)''&lt;/span&gt;&lt;br&gt;&lt;br&gt;
</v>
      </c>
      <c r="AA31" s="3"/>
      <c r="AB31" s="3"/>
      <c r="AC31" s="3"/>
      <c r="AD31" s="3"/>
      <c r="AE31" s="3"/>
      <c r="AF31" s="1"/>
      <c r="AG31" s="1"/>
      <c r="AH31" s="1"/>
      <c r="AI31" s="1"/>
      <c r="AJ31" s="1"/>
      <c r="AK31" s="1"/>
      <c r="AL31" s="1"/>
      <c r="AM31" s="1"/>
      <c r="AN31" s="1"/>
      <c r="AO31" s="1"/>
      <c r="AP31" s="1"/>
      <c r="AQ31" s="1"/>
      <c r="AR31" s="1"/>
      <c r="AS31" s="1"/>
    </row>
    <row r="32" spans="5:45" ht="27" customHeight="1" x14ac:dyDescent="0.25">
      <c r="E32" s="7"/>
      <c r="F32" s="89"/>
      <c r="G32" s="90">
        <f>(+J32*4+K32*4+L32*9)*N32/100</f>
        <v>698.89499999999998</v>
      </c>
      <c r="H32" s="91">
        <f>+J32+K32+L32</f>
        <v>97.100000000000009</v>
      </c>
      <c r="I32" s="91" t="s">
        <v>88</v>
      </c>
      <c r="J32" s="91">
        <v>77.900000000000006</v>
      </c>
      <c r="K32" s="91">
        <v>6.7</v>
      </c>
      <c r="L32" s="91">
        <v>12.5</v>
      </c>
      <c r="M32" s="92">
        <f>+L32/(L32+K32+J32)</f>
        <v>0.12873326467559215</v>
      </c>
      <c r="N32" s="91">
        <v>155</v>
      </c>
      <c r="O32" s="91" t="str">
        <f>IF(S32=1,"paquete","paquetes")</f>
        <v>paquetes</v>
      </c>
      <c r="P32" s="91"/>
      <c r="Q32" s="91" t="s">
        <v>87</v>
      </c>
      <c r="R32" s="93"/>
      <c r="S32" s="90" t="str">
        <f>+IF(R32&lt;&gt;"",R32*$F$5,"")</f>
        <v/>
      </c>
      <c r="T32" s="90" t="str">
        <f>+IF(S32&lt;&gt;"",S32*N32,"")</f>
        <v/>
      </c>
      <c r="U32" s="90" t="str">
        <f>+IF(T32&lt;&gt;"",T32*J32/100,"")</f>
        <v/>
      </c>
      <c r="V32" s="90" t="str">
        <f>+IF(T32&lt;&gt;"",T32*K32/100,"")</f>
        <v/>
      </c>
      <c r="W32" s="90" t="str">
        <f>+IF(T32&lt;&gt;"",T32*L32/100,"")</f>
        <v/>
      </c>
      <c r="X32" s="94"/>
      <c r="Y32" s="3" t="str">
        <f>IF(S32&lt;&gt;"",CONCATENATE("&lt;checklist/&gt;&amp;nbsp;&amp;nbsp;&amp;nbsp;&amp;nbsp;&amp;nbsp;",I32,": ",S32, " ",O32,P32,$Y$4, " ''(",Q32,")''&lt;/span&gt;&lt;br&gt;&lt;br&gt;"),"")</f>
        <v/>
      </c>
      <c r="Z32" s="3" t="str">
        <f t="shared" ref="Z32" si="2">+CONCATENATE(Z31,IF(Y32&lt;&gt;"",CONCATENATE(Y32,CHAR(10)),""))</f>
        <v xml:space="preserve">&lt;checklist/&gt;&amp;nbsp;&amp;nbsp;&amp;nbsp;&amp;nbsp;&amp;nbsp;Salame: 9 lonjas ''(laminado Líder)''&lt;/span&gt;&lt;br&gt;&lt;br&gt;
&lt;checklist/&gt;&amp;nbsp;&amp;nbsp;&amp;nbsp;&amp;nbsp;&amp;nbsp;Jugo sin azúcar añadida: 12 sobres ''(Vivo Herbal)''&lt;/span&gt;&lt;br&gt;&lt;br&gt;
</v>
      </c>
      <c r="AA32" s="1"/>
      <c r="AB32" s="1"/>
      <c r="AC32" s="1"/>
      <c r="AD32" s="1"/>
      <c r="AE32" s="1"/>
      <c r="AF32" s="1"/>
      <c r="AG32" s="1"/>
      <c r="AH32" s="1"/>
      <c r="AI32" s="1"/>
      <c r="AJ32" s="1"/>
      <c r="AK32" s="1"/>
      <c r="AL32" s="1"/>
      <c r="AM32" s="1"/>
      <c r="AN32" s="1"/>
      <c r="AO32" s="1"/>
      <c r="AP32" s="1"/>
      <c r="AQ32" s="1"/>
      <c r="AR32" s="1"/>
      <c r="AS32" s="1"/>
    </row>
    <row r="33" spans="5:45" ht="27" customHeight="1" thickBot="1" x14ac:dyDescent="0.3">
      <c r="E33" s="7"/>
      <c r="F33" s="95"/>
      <c r="G33" s="96">
        <f>(+J33*4+K33*4+L33*9)*N33/100</f>
        <v>1223</v>
      </c>
      <c r="H33" s="96">
        <f>+J33+K33+L33</f>
        <v>60.9</v>
      </c>
      <c r="I33" s="96" t="s">
        <v>89</v>
      </c>
      <c r="J33" s="96">
        <v>57.9</v>
      </c>
      <c r="K33" s="96">
        <v>2.8</v>
      </c>
      <c r="L33" s="96">
        <v>0.2</v>
      </c>
      <c r="M33" s="97">
        <f>+L33/(L33+K33+J33)</f>
        <v>3.2840722495894913E-3</v>
      </c>
      <c r="N33" s="96">
        <v>500</v>
      </c>
      <c r="O33" s="96" t="str">
        <f>IF(S33=1,"paquete 500 gr","paquetes 500 gr")</f>
        <v>paquetes 500 gr</v>
      </c>
      <c r="P33" s="96"/>
      <c r="Q33" s="96" t="s">
        <v>90</v>
      </c>
      <c r="R33" s="98"/>
      <c r="S33" s="99" t="str">
        <f>+IF(R33&lt;&gt;"",R33*$F$5,"")</f>
        <v/>
      </c>
      <c r="T33" s="99" t="str">
        <f>+IF(S33&lt;&gt;"",S33*N33,"")</f>
        <v/>
      </c>
      <c r="U33" s="99" t="str">
        <f>+IF(T33&lt;&gt;"",T33*J33/100,"")</f>
        <v/>
      </c>
      <c r="V33" s="99" t="str">
        <f>+IF(T33&lt;&gt;"",T33*K33/100,"")</f>
        <v/>
      </c>
      <c r="W33" s="99" t="str">
        <f>+IF(T33&lt;&gt;"",T33*L33/100,"")</f>
        <v/>
      </c>
      <c r="X33" s="100"/>
      <c r="Y33" s="3" t="str">
        <f>IF(S33&lt;&gt;"",CONCATENATE("&lt;checklist/&gt;&amp;nbsp;&amp;nbsp;&amp;nbsp;&amp;nbsp;&amp;nbsp;",I33,": ",S33, " ",O33,P33,$Y$4, " ''(",Q33,")''&lt;/span&gt;&lt;br&gt;&lt;br&gt;"),"")</f>
        <v/>
      </c>
      <c r="Z33" s="3" t="str">
        <f t="shared" si="0"/>
        <v xml:space="preserve">&lt;checklist/&gt;&amp;nbsp;&amp;nbsp;&amp;nbsp;&amp;nbsp;&amp;nbsp;Salame: 9 lonjas ''(laminado Líder)''&lt;/span&gt;&lt;br&gt;&lt;br&gt;
&lt;checklist/&gt;&amp;nbsp;&amp;nbsp;&amp;nbsp;&amp;nbsp;&amp;nbsp;Jugo sin azúcar añadida: 12 sobres ''(Vivo Herbal)''&lt;/span&gt;&lt;br&gt;&lt;br&gt;
</v>
      </c>
      <c r="AA33" s="1"/>
      <c r="AB33" s="1"/>
      <c r="AC33" s="1"/>
      <c r="AD33" s="1"/>
      <c r="AE33" s="1"/>
      <c r="AF33" s="1"/>
      <c r="AG33" s="1"/>
      <c r="AH33" s="1"/>
      <c r="AI33" s="1"/>
      <c r="AJ33" s="1"/>
      <c r="AK33" s="1"/>
      <c r="AL33" s="1"/>
      <c r="AM33" s="1"/>
      <c r="AN33" s="1"/>
      <c r="AO33" s="1"/>
      <c r="AP33" s="1"/>
      <c r="AQ33" s="1"/>
      <c r="AR33" s="1"/>
      <c r="AS33" s="1"/>
    </row>
    <row r="34" spans="5:45" ht="27" customHeight="1" thickBot="1" x14ac:dyDescent="0.3">
      <c r="E34" s="7"/>
      <c r="F34" s="101"/>
      <c r="G34" s="80"/>
      <c r="H34" s="80"/>
      <c r="I34" s="80"/>
      <c r="J34" s="80"/>
      <c r="K34" s="80"/>
      <c r="L34" s="80"/>
      <c r="M34" s="81"/>
      <c r="N34" s="80"/>
      <c r="O34" s="80"/>
      <c r="P34" s="80"/>
      <c r="Q34" s="80"/>
      <c r="R34" s="80"/>
      <c r="S34" s="102"/>
      <c r="T34" s="102"/>
      <c r="U34" s="102"/>
      <c r="V34" s="102"/>
      <c r="W34" s="102"/>
      <c r="X34" s="79"/>
      <c r="Y34" s="3" t="str">
        <f>IF(S34&lt;&gt;"",CONCATENATE("&lt;checklist/&gt;&amp;nbsp;&amp;nbsp;&amp;nbsp;&amp;nbsp;&amp;nbsp;",I34,": ",S34, " ",O34,P34,$Y$4, " ''(",Q34,")''&lt;/span&gt;&lt;br&gt;&lt;br&gt;"),"")</f>
        <v/>
      </c>
      <c r="Z34" s="3"/>
      <c r="AA34" s="1"/>
      <c r="AB34" s="1"/>
      <c r="AC34" s="1"/>
      <c r="AD34" s="1"/>
      <c r="AE34" s="1"/>
      <c r="AF34" s="1"/>
      <c r="AG34" s="1"/>
      <c r="AH34" s="1"/>
      <c r="AI34" s="1"/>
      <c r="AJ34" s="1"/>
      <c r="AK34" s="1"/>
      <c r="AL34" s="1"/>
      <c r="AM34" s="1"/>
      <c r="AN34" s="1"/>
      <c r="AO34" s="1"/>
      <c r="AP34" s="1"/>
      <c r="AQ34" s="1"/>
      <c r="AR34" s="1"/>
      <c r="AS34" s="1"/>
    </row>
    <row r="35" spans="5:45" ht="27" customHeight="1" x14ac:dyDescent="0.25">
      <c r="E35" s="9"/>
      <c r="F35" s="103" t="s">
        <v>22</v>
      </c>
      <c r="G35" s="104">
        <f>(+J35*4+K35*4+L35*9)*N35/100</f>
        <v>1623.2</v>
      </c>
      <c r="H35" s="105">
        <f>+J35+K35+L35</f>
        <v>92.2</v>
      </c>
      <c r="I35" s="105" t="s">
        <v>21</v>
      </c>
      <c r="J35" s="105">
        <v>70</v>
      </c>
      <c r="K35" s="105">
        <v>14.8</v>
      </c>
      <c r="L35" s="105">
        <v>7.4</v>
      </c>
      <c r="M35" s="106">
        <f>+L35/(L35+K35+J35)</f>
        <v>8.0260303687635579E-2</v>
      </c>
      <c r="N35" s="105">
        <v>400</v>
      </c>
      <c r="O35" s="105" t="str">
        <f>IF(S35=1,"paquete 400 gr","paquetes 400 gr")</f>
        <v>paquetes 400 gr</v>
      </c>
      <c r="P35" s="105"/>
      <c r="Q35" s="105" t="s">
        <v>10</v>
      </c>
      <c r="R35" s="107"/>
      <c r="S35" s="104" t="str">
        <f>+IF(R35&lt;&gt;"",R35*$F$5,"")</f>
        <v/>
      </c>
      <c r="T35" s="104" t="str">
        <f>+IF(S35&lt;&gt;"",S35*N35,"")</f>
        <v/>
      </c>
      <c r="U35" s="104" t="str">
        <f>+IF(T35&lt;&gt;"",T35*J35/100,"")</f>
        <v/>
      </c>
      <c r="V35" s="104" t="str">
        <f>+IF(T35&lt;&gt;"",T35*K35/100,"")</f>
        <v/>
      </c>
      <c r="W35" s="104" t="str">
        <f>+IF(T35&lt;&gt;"",T35*L35/100,"")</f>
        <v/>
      </c>
      <c r="X35" s="108"/>
      <c r="Y35" s="3" t="str">
        <f>IF(S35&lt;&gt;"",CONCATENATE("&lt;checklist/&gt;&amp;nbsp;&amp;nbsp;&amp;nbsp;&amp;nbsp;&amp;nbsp;",I35,": ",S35, " ",O35,P35,$Y$4, " ''(",Q35,")''&lt;/span&gt;&lt;br&gt;&lt;br&gt;"),"")</f>
        <v/>
      </c>
      <c r="Z35" s="3" t="str">
        <f t="shared" ref="Z35" si="3">+CONCATENATE(Z34,IF(Y35&lt;&gt;"",CONCATENATE(Y35,CHAR(10)),""))</f>
        <v/>
      </c>
      <c r="AA35" s="3"/>
      <c r="AB35" s="3"/>
      <c r="AC35" s="3"/>
      <c r="AD35" s="1"/>
      <c r="AE35" s="3"/>
      <c r="AF35" s="1"/>
      <c r="AG35" s="1"/>
      <c r="AH35" s="1"/>
      <c r="AI35" s="1"/>
      <c r="AJ35" s="1"/>
      <c r="AK35" s="1"/>
      <c r="AL35" s="1"/>
      <c r="AM35" s="1"/>
      <c r="AN35" s="1"/>
      <c r="AO35" s="1"/>
      <c r="AP35" s="1"/>
      <c r="AQ35" s="1"/>
      <c r="AR35" s="1"/>
      <c r="AS35" s="1"/>
    </row>
    <row r="36" spans="5:45" ht="27" customHeight="1" x14ac:dyDescent="0.25">
      <c r="E36" s="7"/>
      <c r="F36" s="109"/>
      <c r="G36" s="110">
        <f>(+J36*4+K36*4+L36*9)*N36/100</f>
        <v>1534.4</v>
      </c>
      <c r="H36" s="111">
        <f>+J36+K36+L36</f>
        <v>84.4</v>
      </c>
      <c r="I36" s="111" t="s">
        <v>20</v>
      </c>
      <c r="J36" s="111">
        <v>63.9</v>
      </c>
      <c r="K36" s="111">
        <v>11.3</v>
      </c>
      <c r="L36" s="111">
        <v>9.1999999999999993</v>
      </c>
      <c r="M36" s="112">
        <f>+L36/(L36+K36+J36)</f>
        <v>0.10900473933649288</v>
      </c>
      <c r="N36" s="111">
        <v>400</v>
      </c>
      <c r="O36" s="111" t="str">
        <f>IF(S36=1,"paquete 400 gr","paquetes 400 gr")</f>
        <v>paquetes 400 gr</v>
      </c>
      <c r="P36" s="111"/>
      <c r="Q36" s="111" t="s">
        <v>43</v>
      </c>
      <c r="R36" s="113">
        <v>4</v>
      </c>
      <c r="S36" s="110">
        <f>+IF(R36&lt;&gt;"",R36*$F$5,"")</f>
        <v>12</v>
      </c>
      <c r="T36" s="110">
        <f>+IF(S36&lt;&gt;"",S36*N36,"")</f>
        <v>4800</v>
      </c>
      <c r="U36" s="110">
        <f>+IF(T36&lt;&gt;"",T36*J36/100,"")</f>
        <v>3067.2</v>
      </c>
      <c r="V36" s="110">
        <f>+IF(T36&lt;&gt;"",T36*K36/100,"")</f>
        <v>542.4</v>
      </c>
      <c r="W36" s="110">
        <f>+IF(T36&lt;&gt;"",T36*L36/100,"")</f>
        <v>441.6</v>
      </c>
      <c r="X36" s="114"/>
      <c r="Y36" s="3" t="str">
        <f>IF(S36&lt;&gt;"",CONCATENATE("&lt;checklist/&gt;&amp;nbsp;&amp;nbsp;&amp;nbsp;&amp;nbsp;&amp;nbsp;",I36,": ",S36, " ",O36,P36,$Y$4, " ''(",Q36,")''&lt;/span&gt;&lt;br&gt;&lt;br&gt;"),"")</f>
        <v>&lt;checklist/&gt;&amp;nbsp;&amp;nbsp;&amp;nbsp;&amp;nbsp;&amp;nbsp;Ravioles ricotta espinaca: 12 paquetes 400 gr ''(Líder)''&lt;/span&gt;&lt;br&gt;&lt;br&gt;</v>
      </c>
      <c r="Z36" s="3" t="str">
        <f t="shared" ref="Z36:Z49" si="4">+CONCATENATE(Z35,IF(Y36&lt;&gt;"",CONCATENATE(Y36,CHAR(10)),""))</f>
        <v xml:space="preserve">&lt;checklist/&gt;&amp;nbsp;&amp;nbsp;&amp;nbsp;&amp;nbsp;&amp;nbsp;Ravioles ricotta espinaca: 12 paquetes 400 gr ''(Líder)''&lt;/span&gt;&lt;br&gt;&lt;br&gt;
</v>
      </c>
      <c r="AA36" s="3"/>
      <c r="AB36" s="3"/>
      <c r="AC36" s="3"/>
      <c r="AD36" s="1"/>
      <c r="AE36" s="3"/>
      <c r="AF36" s="1"/>
      <c r="AG36" s="1"/>
      <c r="AH36" s="1"/>
      <c r="AI36" s="1"/>
      <c r="AJ36" s="1"/>
      <c r="AK36" s="1"/>
      <c r="AL36" s="1"/>
      <c r="AM36" s="1"/>
      <c r="AN36" s="1"/>
      <c r="AO36" s="1"/>
      <c r="AP36" s="1"/>
      <c r="AQ36" s="1"/>
      <c r="AR36" s="1"/>
      <c r="AS36" s="1"/>
    </row>
    <row r="37" spans="5:45" ht="27" customHeight="1" x14ac:dyDescent="0.25">
      <c r="E37" s="4"/>
      <c r="F37" s="115"/>
      <c r="G37" s="110">
        <f>(+J37*4+K37*4+L37*9)*N37/100</f>
        <v>133.79</v>
      </c>
      <c r="H37" s="111">
        <f>+J37+K37+L37</f>
        <v>17.3</v>
      </c>
      <c r="I37" s="111" t="s">
        <v>6</v>
      </c>
      <c r="J37" s="111">
        <v>0</v>
      </c>
      <c r="K37" s="111">
        <v>15.4</v>
      </c>
      <c r="L37" s="111">
        <v>1.9</v>
      </c>
      <c r="M37" s="112">
        <f>+L37/(L37+K37+J37)</f>
        <v>0.10982658959537571</v>
      </c>
      <c r="N37" s="111">
        <v>170</v>
      </c>
      <c r="O37" s="111" t="str">
        <f>IF(S37=1,"tarro 340 gr","tarros 340 gr")</f>
        <v>tarros 340 gr</v>
      </c>
      <c r="P37" s="111"/>
      <c r="Q37" s="111" t="s">
        <v>43</v>
      </c>
      <c r="R37" s="113"/>
      <c r="S37" s="110" t="str">
        <f>+IF(R37&lt;&gt;"",R37*$F$5,"")</f>
        <v/>
      </c>
      <c r="T37" s="110" t="str">
        <f>+IF(S37&lt;&gt;"",S37*N37,"")</f>
        <v/>
      </c>
      <c r="U37" s="110" t="str">
        <f>+IF(T37&lt;&gt;"",T37*J37/100,"")</f>
        <v/>
      </c>
      <c r="V37" s="110" t="str">
        <f>+IF(T37&lt;&gt;"",T37*K37/100,"")</f>
        <v/>
      </c>
      <c r="W37" s="110" t="str">
        <f>+IF(T37&lt;&gt;"",T37*L37/100,"")</f>
        <v/>
      </c>
      <c r="X37" s="114"/>
      <c r="Y37" s="3" t="str">
        <f>IF(S37&lt;&gt;"",CONCATENATE("&lt;checklist/&gt;&amp;nbsp;&amp;nbsp;&amp;nbsp;&amp;nbsp;&amp;nbsp;",I37,": ",S37, " ",O37,P37,$Y$4, " ''(",Q37,")''&lt;/span&gt;&lt;br&gt;&lt;br&gt;"),"")</f>
        <v/>
      </c>
      <c r="Z37" s="3" t="str">
        <f t="shared" si="4"/>
        <v xml:space="preserve">&lt;checklist/&gt;&amp;nbsp;&amp;nbsp;&amp;nbsp;&amp;nbsp;&amp;nbsp;Ravioles ricotta espinaca: 12 paquetes 400 gr ''(Líder)''&lt;/span&gt;&lt;br&gt;&lt;br&gt;
</v>
      </c>
      <c r="AA37" s="3"/>
      <c r="AB37" s="3"/>
      <c r="AC37" s="3"/>
      <c r="AD37" s="1"/>
      <c r="AE37" s="3" t="str">
        <f>LEFT(Z37,1)</f>
        <v>&lt;</v>
      </c>
      <c r="AF37" s="1"/>
      <c r="AG37" s="1"/>
      <c r="AH37" s="1"/>
      <c r="AI37" s="1"/>
      <c r="AJ37" s="1"/>
      <c r="AK37" s="1"/>
      <c r="AL37" s="1"/>
      <c r="AM37" s="1"/>
      <c r="AN37" s="1"/>
      <c r="AO37" s="1"/>
      <c r="AP37" s="1"/>
      <c r="AQ37" s="1"/>
      <c r="AR37" s="1"/>
      <c r="AS37" s="1"/>
    </row>
    <row r="38" spans="5:45" ht="27" customHeight="1" x14ac:dyDescent="0.25">
      <c r="E38" s="4"/>
      <c r="F38" s="115"/>
      <c r="G38" s="110">
        <f>(+J38*4+K38*4+L38*9)*N38/100</f>
        <v>360.4</v>
      </c>
      <c r="H38" s="111">
        <f>+J38+K38+L38</f>
        <v>31.5</v>
      </c>
      <c r="I38" s="111" t="s">
        <v>31</v>
      </c>
      <c r="J38" s="111">
        <v>0</v>
      </c>
      <c r="K38" s="111">
        <v>14.3</v>
      </c>
      <c r="L38" s="111">
        <v>17.2</v>
      </c>
      <c r="M38" s="112">
        <f>+L38/(L38+K38+J38)</f>
        <v>0.54603174603174598</v>
      </c>
      <c r="N38" s="111">
        <v>170</v>
      </c>
      <c r="O38" s="111" t="str">
        <f>IF(S38=1,"tarro 340 gr","tarros 340 gr")</f>
        <v>tarros 340 gr</v>
      </c>
      <c r="P38" s="111"/>
      <c r="Q38" s="111" t="s">
        <v>43</v>
      </c>
      <c r="R38" s="113">
        <v>5</v>
      </c>
      <c r="S38" s="110">
        <f>+IF(R38&lt;&gt;"",R38*$F$5,"")</f>
        <v>15</v>
      </c>
      <c r="T38" s="110">
        <f>+IF(S38&lt;&gt;"",S38*N38,"")</f>
        <v>2550</v>
      </c>
      <c r="U38" s="110">
        <f>+IF(T38&lt;&gt;"",T38*J38/100,"")</f>
        <v>0</v>
      </c>
      <c r="V38" s="110">
        <f>+IF(T38&lt;&gt;"",T38*K38/100,"")</f>
        <v>364.65</v>
      </c>
      <c r="W38" s="110">
        <f>+IF(T38&lt;&gt;"",T38*L38/100,"")</f>
        <v>438.6</v>
      </c>
      <c r="X38" s="114"/>
      <c r="Y38" s="3" t="str">
        <f>IF(S38&lt;&gt;"",CONCATENATE("&lt;checklist/&gt;&amp;nbsp;&amp;nbsp;&amp;nbsp;&amp;nbsp;&amp;nbsp;",I38,": ",S38, " ",O38,P38,$Y$4, " ''(",Q38,")''&lt;/span&gt;&lt;br&gt;&lt;br&gt;"),"")</f>
        <v>&lt;checklist/&gt;&amp;nbsp;&amp;nbsp;&amp;nbsp;&amp;nbsp;&amp;nbsp;Atún en aceite: 15 tarros 340 gr ''(Líder)''&lt;/span&gt;&lt;br&gt;&lt;br&gt;</v>
      </c>
      <c r="Z38" s="3" t="str">
        <f t="shared" si="4"/>
        <v xml:space="preserve">&lt;checklist/&gt;&amp;nbsp;&amp;nbsp;&amp;nbsp;&amp;nbsp;&amp;nbsp;Ravioles ricotta espinaca: 12 paquetes 400 gr ''(Líder)''&lt;/span&gt;&lt;br&gt;&lt;br&gt;
&lt;checklist/&gt;&amp;nbsp;&amp;nbsp;&amp;nbsp;&amp;nbsp;&amp;nbsp;Atún en aceite: 15 tarros 340 gr ''(Líder)''&lt;/span&gt;&lt;br&gt;&lt;br&gt;
</v>
      </c>
      <c r="AA38" s="3"/>
      <c r="AB38" s="3"/>
      <c r="AC38" s="3"/>
      <c r="AD38" s="1"/>
      <c r="AE38" s="3"/>
      <c r="AF38" s="1"/>
      <c r="AG38" s="1"/>
      <c r="AH38" s="1"/>
      <c r="AI38" s="1"/>
      <c r="AJ38" s="1"/>
      <c r="AK38" s="1"/>
      <c r="AL38" s="1"/>
      <c r="AM38" s="1"/>
      <c r="AN38" s="1"/>
      <c r="AO38" s="1"/>
      <c r="AP38" s="1"/>
      <c r="AQ38" s="1"/>
      <c r="AR38" s="1"/>
      <c r="AS38" s="1"/>
    </row>
    <row r="39" spans="5:45" ht="27" customHeight="1" x14ac:dyDescent="0.25">
      <c r="E39" s="4"/>
      <c r="F39" s="115"/>
      <c r="G39" s="110">
        <f>(+J39*4+K39*4+L39*9)*N39/100</f>
        <v>91.2</v>
      </c>
      <c r="H39" s="111">
        <f>+J39+K39+L39</f>
        <v>10.9</v>
      </c>
      <c r="I39" s="111" t="s">
        <v>7</v>
      </c>
      <c r="J39" s="111">
        <v>9.1</v>
      </c>
      <c r="K39" s="111">
        <v>1.4</v>
      </c>
      <c r="L39" s="111">
        <v>0.4</v>
      </c>
      <c r="M39" s="112">
        <f>+L39/(L39+K39+J39)</f>
        <v>3.6697247706422027E-2</v>
      </c>
      <c r="N39" s="111">
        <v>200</v>
      </c>
      <c r="O39" s="111" t="str">
        <f>IF(S39=1,"paquete 200 gr","paquetes 200 gr")</f>
        <v>paquetes 200 gr</v>
      </c>
      <c r="P39" s="111"/>
      <c r="Q39" s="111" t="s">
        <v>43</v>
      </c>
      <c r="R39" s="113"/>
      <c r="S39" s="110" t="str">
        <f>+IF(R39&lt;&gt;"",R39*$F$5,"")</f>
        <v/>
      </c>
      <c r="T39" s="110" t="str">
        <f>+IF(S39&lt;&gt;"",S39*N39,"")</f>
        <v/>
      </c>
      <c r="U39" s="110" t="str">
        <f>+IF(T39&lt;&gt;"",T39*J39/100,"")</f>
        <v/>
      </c>
      <c r="V39" s="110" t="str">
        <f>+IF(T39&lt;&gt;"",T39*K39/100,"")</f>
        <v/>
      </c>
      <c r="W39" s="110" t="str">
        <f>+IF(T39&lt;&gt;"",T39*L39/100,"")</f>
        <v/>
      </c>
      <c r="X39" s="114"/>
      <c r="Y39" s="3" t="str">
        <f>IF(S39&lt;&gt;"",CONCATENATE("&lt;checklist/&gt;&amp;nbsp;&amp;nbsp;&amp;nbsp;&amp;nbsp;&amp;nbsp;",I39,": ",S39, " ",O39,P39,$Y$4, " ''(",Q39,")''&lt;/span&gt;&lt;br&gt;&lt;br&gt;"),"")</f>
        <v/>
      </c>
      <c r="Z39" s="3" t="str">
        <f t="shared" si="4"/>
        <v xml:space="preserve">&lt;checklist/&gt;&amp;nbsp;&amp;nbsp;&amp;nbsp;&amp;nbsp;&amp;nbsp;Ravioles ricotta espinaca: 12 paquetes 400 gr ''(Líder)''&lt;/span&gt;&lt;br&gt;&lt;br&gt;
&lt;checklist/&gt;&amp;nbsp;&amp;nbsp;&amp;nbsp;&amp;nbsp;&amp;nbsp;Atún en aceite: 15 tarros 340 gr ''(Líder)''&lt;/span&gt;&lt;br&gt;&lt;br&gt;
</v>
      </c>
      <c r="AA39" s="3"/>
      <c r="AB39" s="3"/>
      <c r="AC39" s="3"/>
      <c r="AD39" s="1"/>
      <c r="AE39" s="3"/>
      <c r="AF39" s="1"/>
      <c r="AG39" s="1"/>
      <c r="AH39" s="1"/>
      <c r="AI39" s="1"/>
      <c r="AJ39" s="1"/>
      <c r="AK39" s="1"/>
      <c r="AL39" s="1"/>
      <c r="AM39" s="1"/>
      <c r="AN39" s="1"/>
      <c r="AO39" s="1"/>
      <c r="AP39" s="1"/>
      <c r="AQ39" s="1"/>
      <c r="AR39" s="1"/>
      <c r="AS39" s="1"/>
    </row>
    <row r="40" spans="5:45" ht="27" customHeight="1" x14ac:dyDescent="0.25">
      <c r="E40" s="4"/>
      <c r="F40" s="115"/>
      <c r="G40" s="110">
        <f>(+J40*4+K40*4+L40*9)*N40/100</f>
        <v>285.98</v>
      </c>
      <c r="H40" s="111">
        <f>+J40+K40+L40</f>
        <v>83</v>
      </c>
      <c r="I40" s="111" t="s">
        <v>59</v>
      </c>
      <c r="J40" s="111">
        <v>69.3</v>
      </c>
      <c r="K40" s="111">
        <v>7.7</v>
      </c>
      <c r="L40" s="111">
        <v>6</v>
      </c>
      <c r="M40" s="112">
        <f>+L40/(L40+K40+J40)</f>
        <v>7.2289156626506021E-2</v>
      </c>
      <c r="N40" s="111">
        <v>79</v>
      </c>
      <c r="O40" s="111" t="str">
        <f>IF(S40=1,"sobre de litro","sobre de litro")</f>
        <v>sobre de litro</v>
      </c>
      <c r="P40" s="111"/>
      <c r="Q40" s="111" t="s">
        <v>36</v>
      </c>
      <c r="R40" s="113"/>
      <c r="S40" s="110" t="str">
        <f>+IF(R40&lt;&gt;"",R40*$F$5,"")</f>
        <v/>
      </c>
      <c r="T40" s="110" t="str">
        <f>+IF(S40&lt;&gt;"",S40*N40,"")</f>
        <v/>
      </c>
      <c r="U40" s="110" t="str">
        <f>+IF(T40&lt;&gt;"",T40*J40/100,"")</f>
        <v/>
      </c>
      <c r="V40" s="110" t="str">
        <f>+IF(T40&lt;&gt;"",T40*K40/100,"")</f>
        <v/>
      </c>
      <c r="W40" s="110" t="str">
        <f>+IF(T40&lt;&gt;"",T40*L40/100,"")</f>
        <v/>
      </c>
      <c r="X40" s="114"/>
      <c r="Y40" s="3" t="str">
        <f>IF(S40&lt;&gt;"",CONCATENATE("&lt;checklist/&gt;&amp;nbsp;&amp;nbsp;&amp;nbsp;&amp;nbsp;&amp;nbsp;",I40,": ",S40, " ",O40,P40,$Y$4, " ''(",Q40,")''&lt;/span&gt;&lt;br&gt;&lt;br&gt;"),"")</f>
        <v/>
      </c>
      <c r="Z40" s="3" t="str">
        <f t="shared" si="4"/>
        <v xml:space="preserve">&lt;checklist/&gt;&amp;nbsp;&amp;nbsp;&amp;nbsp;&amp;nbsp;&amp;nbsp;Ravioles ricotta espinaca: 12 paquetes 400 gr ''(Líder)''&lt;/span&gt;&lt;br&gt;&lt;br&gt;
&lt;checklist/&gt;&amp;nbsp;&amp;nbsp;&amp;nbsp;&amp;nbsp;&amp;nbsp;Atún en aceite: 15 tarros 340 gr ''(Líder)''&lt;/span&gt;&lt;br&gt;&lt;br&gt;
</v>
      </c>
      <c r="AA40" s="3"/>
      <c r="AB40" s="3"/>
      <c r="AC40" s="3"/>
      <c r="AD40" s="1"/>
      <c r="AE40" s="3"/>
      <c r="AF40" s="1"/>
      <c r="AG40" s="1"/>
      <c r="AH40" s="1"/>
      <c r="AI40" s="1"/>
      <c r="AJ40" s="1"/>
      <c r="AK40" s="1"/>
      <c r="AL40" s="1"/>
      <c r="AM40" s="1"/>
      <c r="AN40" s="1"/>
      <c r="AO40" s="1"/>
      <c r="AP40" s="1"/>
      <c r="AQ40" s="1"/>
      <c r="AR40" s="1"/>
      <c r="AS40" s="1"/>
    </row>
    <row r="41" spans="5:45" ht="27" customHeight="1" x14ac:dyDescent="0.25">
      <c r="E41" s="4"/>
      <c r="F41" s="115"/>
      <c r="G41" s="110">
        <f>(+J41*4+K41*4+L41*9)*N41/100</f>
        <v>68.58</v>
      </c>
      <c r="H41" s="110">
        <f>+J41+K41+L41</f>
        <v>89.1875</v>
      </c>
      <c r="I41" s="111" t="s">
        <v>37</v>
      </c>
      <c r="J41" s="111">
        <f>11.2*100/16</f>
        <v>70</v>
      </c>
      <c r="K41" s="110">
        <f>0.77*100/16</f>
        <v>4.8125</v>
      </c>
      <c r="L41" s="110">
        <f>2.3*100/16</f>
        <v>14.374999999999998</v>
      </c>
      <c r="M41" s="112">
        <f>+L41/(L41+K41+J41)</f>
        <v>0.16117729502452696</v>
      </c>
      <c r="N41" s="111">
        <v>16</v>
      </c>
      <c r="O41" s="111" t="str">
        <f>IF(S41=1,"sobre","sobres")</f>
        <v>sobres</v>
      </c>
      <c r="P41" s="111"/>
      <c r="Q41" s="111" t="s">
        <v>38</v>
      </c>
      <c r="R41" s="113"/>
      <c r="S41" s="110" t="str">
        <f>+IF(R41&lt;&gt;"",R41*$F$5,"")</f>
        <v/>
      </c>
      <c r="T41" s="110" t="str">
        <f>+IF(S41&lt;&gt;"",S41*N41,"")</f>
        <v/>
      </c>
      <c r="U41" s="110" t="str">
        <f>+IF(T41&lt;&gt;"",T41*J41/100,"")</f>
        <v/>
      </c>
      <c r="V41" s="110" t="str">
        <f>+IF(T41&lt;&gt;"",T41*K41/100,"")</f>
        <v/>
      </c>
      <c r="W41" s="110" t="str">
        <f>+IF(T41&lt;&gt;"",T41*L41/100,"")</f>
        <v/>
      </c>
      <c r="X41" s="114"/>
      <c r="Y41" s="3" t="str">
        <f>IF(S41&lt;&gt;"",CONCATENATE("&lt;checklist/&gt;&amp;nbsp;&amp;nbsp;&amp;nbsp;&amp;nbsp;&amp;nbsp;",I41,": ",S41, " ",O41,P41,$Y$4, " ''(",Q41,")''&lt;/span&gt;&lt;br&gt;&lt;br&gt;"),"")</f>
        <v/>
      </c>
      <c r="Z41" s="3" t="str">
        <f t="shared" si="4"/>
        <v xml:space="preserve">&lt;checklist/&gt;&amp;nbsp;&amp;nbsp;&amp;nbsp;&amp;nbsp;&amp;nbsp;Ravioles ricotta espinaca: 12 paquetes 400 gr ''(Líder)''&lt;/span&gt;&lt;br&gt;&lt;br&gt;
&lt;checklist/&gt;&amp;nbsp;&amp;nbsp;&amp;nbsp;&amp;nbsp;&amp;nbsp;Atún en aceite: 15 tarros 340 gr ''(Líder)''&lt;/span&gt;&lt;br&gt;&lt;br&gt;
</v>
      </c>
      <c r="AA41" s="3"/>
      <c r="AB41" s="3"/>
      <c r="AC41" s="3"/>
      <c r="AD41" s="1"/>
      <c r="AE41" s="3"/>
      <c r="AF41" s="1"/>
      <c r="AG41" s="1"/>
      <c r="AH41" s="1"/>
      <c r="AI41" s="1"/>
      <c r="AJ41" s="1"/>
      <c r="AK41" s="1"/>
      <c r="AL41" s="1"/>
      <c r="AM41" s="1"/>
      <c r="AN41" s="1"/>
      <c r="AO41" s="1"/>
      <c r="AP41" s="1"/>
      <c r="AQ41" s="1"/>
      <c r="AR41" s="1"/>
      <c r="AS41" s="1"/>
    </row>
    <row r="42" spans="5:45" ht="27" customHeight="1" x14ac:dyDescent="0.25">
      <c r="E42" s="4"/>
      <c r="F42" s="115"/>
      <c r="G42" s="110">
        <f>(+J42*4+K42*4+L42*9)*N42/100</f>
        <v>855</v>
      </c>
      <c r="H42" s="111">
        <f>+J42+K42+L42</f>
        <v>83</v>
      </c>
      <c r="I42" s="111" t="s">
        <v>32</v>
      </c>
      <c r="J42" s="111">
        <v>69</v>
      </c>
      <c r="K42" s="111">
        <v>12</v>
      </c>
      <c r="L42" s="111">
        <v>2</v>
      </c>
      <c r="M42" s="112">
        <f>+L42/(L42+K42+J42)</f>
        <v>2.4096385542168676E-2</v>
      </c>
      <c r="N42" s="111">
        <v>250</v>
      </c>
      <c r="O42" s="111" t="str">
        <f>IF(S42=1,"paquete 250 gr","paquetes 250 gr")</f>
        <v>paquetes 250 gr</v>
      </c>
      <c r="P42" s="111"/>
      <c r="Q42" s="111" t="s">
        <v>10</v>
      </c>
      <c r="R42" s="113"/>
      <c r="S42" s="110" t="str">
        <f>+IF(R42&lt;&gt;"",R42*$F$5,"")</f>
        <v/>
      </c>
      <c r="T42" s="110" t="str">
        <f>+IF(S42&lt;&gt;"",S42*N42,"")</f>
        <v/>
      </c>
      <c r="U42" s="110" t="str">
        <f>+IF(T42&lt;&gt;"",T42*J42/100,"")</f>
        <v/>
      </c>
      <c r="V42" s="110" t="str">
        <f>+IF(T42&lt;&gt;"",T42*K42/100,"")</f>
        <v/>
      </c>
      <c r="W42" s="110" t="str">
        <f>+IF(T42&lt;&gt;"",T42*L42/100,"")</f>
        <v/>
      </c>
      <c r="X42" s="114"/>
      <c r="Y42" s="3" t="str">
        <f>IF(S42&lt;&gt;"",CONCATENATE("&lt;checklist/&gt;&amp;nbsp;&amp;nbsp;&amp;nbsp;&amp;nbsp;&amp;nbsp;",I42,": ",S42, " ",O42,P42,$Y$4, " ''(",Q42,")''&lt;/span&gt;&lt;br&gt;&lt;br&gt;"),"")</f>
        <v/>
      </c>
      <c r="Z42" s="3" t="str">
        <f t="shared" si="4"/>
        <v xml:space="preserve">&lt;checklist/&gt;&amp;nbsp;&amp;nbsp;&amp;nbsp;&amp;nbsp;&amp;nbsp;Ravioles ricotta espinaca: 12 paquetes 400 gr ''(Líder)''&lt;/span&gt;&lt;br&gt;&lt;br&gt;
&lt;checklist/&gt;&amp;nbsp;&amp;nbsp;&amp;nbsp;&amp;nbsp;&amp;nbsp;Atún en aceite: 15 tarros 340 gr ''(Líder)''&lt;/span&gt;&lt;br&gt;&lt;br&gt;
</v>
      </c>
      <c r="AA42" s="3"/>
      <c r="AB42" s="3"/>
      <c r="AC42" s="3"/>
      <c r="AD42" s="3"/>
      <c r="AE42" s="3"/>
      <c r="AF42" s="1"/>
      <c r="AG42" s="1"/>
      <c r="AH42" s="1"/>
      <c r="AI42" s="1"/>
      <c r="AJ42" s="1"/>
      <c r="AK42" s="1"/>
      <c r="AL42" s="1"/>
      <c r="AM42" s="1"/>
      <c r="AN42" s="1"/>
      <c r="AO42" s="1"/>
      <c r="AP42" s="1"/>
      <c r="AQ42" s="1"/>
      <c r="AR42" s="1"/>
      <c r="AS42" s="1"/>
    </row>
    <row r="43" spans="5:45" ht="27" customHeight="1" x14ac:dyDescent="0.25">
      <c r="E43" s="4"/>
      <c r="F43" s="115"/>
      <c r="G43" s="110">
        <f>(+J43*4+K43*4+L43*9)*N43/100</f>
        <v>184.16</v>
      </c>
      <c r="H43" s="111">
        <f>+J43+K43+L43</f>
        <v>73.099999999999994</v>
      </c>
      <c r="I43" s="111" t="s">
        <v>42</v>
      </c>
      <c r="J43" s="111">
        <v>2.6</v>
      </c>
      <c r="K43" s="111">
        <v>36.9</v>
      </c>
      <c r="L43" s="111">
        <v>33.6</v>
      </c>
      <c r="M43" s="112">
        <f>+L43/(L43+K43+J43)</f>
        <v>0.45964432284541729</v>
      </c>
      <c r="N43" s="111">
        <v>40</v>
      </c>
      <c r="O43" s="111" t="str">
        <f>IF(S43=1,"sobre 40gr","sobres 40gr")</f>
        <v>sobres 40gr</v>
      </c>
      <c r="P43" s="111"/>
      <c r="Q43" s="111" t="s">
        <v>43</v>
      </c>
      <c r="R43" s="113"/>
      <c r="S43" s="110" t="str">
        <f>+IF(R43&lt;&gt;"",R43*$F$5,"")</f>
        <v/>
      </c>
      <c r="T43" s="110" t="str">
        <f>+IF(S43&lt;&gt;"",S43*N43,"")</f>
        <v/>
      </c>
      <c r="U43" s="110" t="str">
        <f>+IF(T43&lt;&gt;"",T43*J43/100,"")</f>
        <v/>
      </c>
      <c r="V43" s="110" t="str">
        <f>+IF(T43&lt;&gt;"",T43*K43/100,"")</f>
        <v/>
      </c>
      <c r="W43" s="110" t="str">
        <f>+IF(T43&lt;&gt;"",T43*L43/100,"")</f>
        <v/>
      </c>
      <c r="X43" s="114"/>
      <c r="Y43" s="3" t="str">
        <f>IF(S43&lt;&gt;"",CONCATENATE("&lt;checklist/&gt;&amp;nbsp;&amp;nbsp;&amp;nbsp;&amp;nbsp;&amp;nbsp;",I43,": ",S43, " ",O43,P43,$Y$4, " ''(",Q43,")''&lt;/span&gt;&lt;br&gt;&lt;br&gt;"),"")</f>
        <v/>
      </c>
      <c r="Z43" s="3" t="str">
        <f t="shared" si="4"/>
        <v xml:space="preserve">&lt;checklist/&gt;&amp;nbsp;&amp;nbsp;&amp;nbsp;&amp;nbsp;&amp;nbsp;Ravioles ricotta espinaca: 12 paquetes 400 gr ''(Líder)''&lt;/span&gt;&lt;br&gt;&lt;br&gt;
&lt;checklist/&gt;&amp;nbsp;&amp;nbsp;&amp;nbsp;&amp;nbsp;&amp;nbsp;Atún en aceite: 15 tarros 340 gr ''(Líder)''&lt;/span&gt;&lt;br&gt;&lt;br&gt;
</v>
      </c>
      <c r="AA43" s="3"/>
      <c r="AB43" s="3"/>
      <c r="AC43" s="3"/>
      <c r="AD43" s="3"/>
      <c r="AE43" s="3"/>
      <c r="AF43" s="1"/>
      <c r="AG43" s="1"/>
      <c r="AH43" s="1"/>
      <c r="AI43" s="1"/>
      <c r="AJ43" s="1"/>
      <c r="AK43" s="1"/>
      <c r="AL43" s="1"/>
      <c r="AM43" s="1"/>
      <c r="AN43" s="1"/>
      <c r="AO43" s="1"/>
      <c r="AP43" s="1"/>
      <c r="AQ43" s="1"/>
      <c r="AR43" s="1"/>
      <c r="AS43" s="1"/>
    </row>
    <row r="44" spans="5:45" ht="27" customHeight="1" x14ac:dyDescent="0.25">
      <c r="E44" s="4"/>
      <c r="F44" s="115"/>
      <c r="G44" s="110"/>
      <c r="H44" s="111">
        <f>+J44+K44+L44</f>
        <v>69.099999999999994</v>
      </c>
      <c r="I44" s="111" t="s">
        <v>44</v>
      </c>
      <c r="J44" s="111">
        <v>20.399999999999999</v>
      </c>
      <c r="K44" s="111">
        <v>47.4</v>
      </c>
      <c r="L44" s="111">
        <v>1.3</v>
      </c>
      <c r="M44" s="112">
        <f>+L44/(L44+K44+J44)</f>
        <v>1.8813314037626629E-2</v>
      </c>
      <c r="N44" s="111">
        <v>300</v>
      </c>
      <c r="O44" s="111" t="str">
        <f>IF(S44=1,"paquete 300 gr","paquetes 300 gr")</f>
        <v>paquetes 300 gr</v>
      </c>
      <c r="P44" s="111"/>
      <c r="Q44" s="111" t="s">
        <v>43</v>
      </c>
      <c r="R44" s="113"/>
      <c r="S44" s="110" t="str">
        <f>+IF(R44&lt;&gt;"",R44*$F$5,"")</f>
        <v/>
      </c>
      <c r="T44" s="110" t="str">
        <f>+IF(S44&lt;&gt;"",S44*N44,"")</f>
        <v/>
      </c>
      <c r="U44" s="110" t="str">
        <f>+IF(T44&lt;&gt;"",T44*J44/100,"")</f>
        <v/>
      </c>
      <c r="V44" s="110" t="str">
        <f>+IF(T44&lt;&gt;"",T44*K44/100,"")</f>
        <v/>
      </c>
      <c r="W44" s="110" t="str">
        <f>+IF(T44&lt;&gt;"",T44*L44/100,"")</f>
        <v/>
      </c>
      <c r="X44" s="114"/>
      <c r="Y44" s="3" t="str">
        <f>IF(S44&lt;&gt;"",CONCATENATE("&lt;checklist/&gt;&amp;nbsp;&amp;nbsp;&amp;nbsp;&amp;nbsp;&amp;nbsp;",I44,": ",S44, " ",O44,P44,$Y$4, " ''(",Q44,")''&lt;/span&gt;&lt;br&gt;&lt;br&gt;"),"")</f>
        <v/>
      </c>
      <c r="Z44" s="3" t="str">
        <f t="shared" si="4"/>
        <v xml:space="preserve">&lt;checklist/&gt;&amp;nbsp;&amp;nbsp;&amp;nbsp;&amp;nbsp;&amp;nbsp;Ravioles ricotta espinaca: 12 paquetes 400 gr ''(Líder)''&lt;/span&gt;&lt;br&gt;&lt;br&gt;
&lt;checklist/&gt;&amp;nbsp;&amp;nbsp;&amp;nbsp;&amp;nbsp;&amp;nbsp;Atún en aceite: 15 tarros 340 gr ''(Líder)''&lt;/span&gt;&lt;br&gt;&lt;br&gt;
</v>
      </c>
      <c r="AA44" s="3"/>
      <c r="AB44" s="3"/>
      <c r="AC44" s="3"/>
      <c r="AD44" s="3"/>
      <c r="AE44" s="3"/>
      <c r="AF44" s="1"/>
      <c r="AG44" s="1"/>
      <c r="AH44" s="1"/>
      <c r="AI44" s="1"/>
      <c r="AJ44" s="1"/>
      <c r="AK44" s="1"/>
      <c r="AL44" s="1"/>
      <c r="AM44" s="1"/>
      <c r="AN44" s="1"/>
      <c r="AO44" s="1"/>
      <c r="AP44" s="1"/>
      <c r="AQ44" s="1"/>
      <c r="AR44" s="1"/>
      <c r="AS44" s="1"/>
    </row>
    <row r="45" spans="5:45" ht="27" customHeight="1" x14ac:dyDescent="0.25">
      <c r="E45" s="4"/>
      <c r="F45" s="115"/>
      <c r="G45" s="110"/>
      <c r="H45" s="111">
        <f>+J45+K45+L45</f>
        <v>87.4</v>
      </c>
      <c r="I45" s="111" t="s">
        <v>48</v>
      </c>
      <c r="J45" s="111">
        <v>77.8</v>
      </c>
      <c r="K45" s="111">
        <v>9.1999999999999993</v>
      </c>
      <c r="L45" s="111">
        <v>0.4</v>
      </c>
      <c r="M45" s="112">
        <f>+L45/(L45+K45+J45)</f>
        <v>4.5766590389016027E-3</v>
      </c>
      <c r="N45" s="111">
        <v>250</v>
      </c>
      <c r="O45" s="111" t="str">
        <f>IF(S45=1,"paquete 250","paquetes 250 gr")</f>
        <v>paquetes 250 gr</v>
      </c>
      <c r="P45" s="111"/>
      <c r="Q45" s="111" t="s">
        <v>43</v>
      </c>
      <c r="R45" s="113"/>
      <c r="S45" s="110" t="str">
        <f>+IF(R45&lt;&gt;"",R45*$F$5,"")</f>
        <v/>
      </c>
      <c r="T45" s="110" t="str">
        <f>+IF(S45&lt;&gt;"",S45*N45,"")</f>
        <v/>
      </c>
      <c r="U45" s="110" t="str">
        <f>+IF(T45&lt;&gt;"",T45*J45/100,"")</f>
        <v/>
      </c>
      <c r="V45" s="110" t="str">
        <f>+IF(T45&lt;&gt;"",T45*K45/100,"")</f>
        <v/>
      </c>
      <c r="W45" s="110" t="str">
        <f>+IF(T45&lt;&gt;"",T45*L45/100,"")</f>
        <v/>
      </c>
      <c r="X45" s="114"/>
      <c r="Y45" s="3" t="str">
        <f>IF(S45&lt;&gt;"",CONCATENATE("&lt;checklist/&gt;&amp;nbsp;&amp;nbsp;&amp;nbsp;&amp;nbsp;&amp;nbsp;",I45,": ",S45, " ",O45,P45,$Y$4, " ''(",Q45,")''&lt;/span&gt;&lt;br&gt;&lt;br&gt;"),"")</f>
        <v/>
      </c>
      <c r="Z45" s="3" t="str">
        <f t="shared" si="4"/>
        <v xml:space="preserve">&lt;checklist/&gt;&amp;nbsp;&amp;nbsp;&amp;nbsp;&amp;nbsp;&amp;nbsp;Ravioles ricotta espinaca: 12 paquetes 400 gr ''(Líder)''&lt;/span&gt;&lt;br&gt;&lt;br&gt;
&lt;checklist/&gt;&amp;nbsp;&amp;nbsp;&amp;nbsp;&amp;nbsp;&amp;nbsp;Atún en aceite: 15 tarros 340 gr ''(Líder)''&lt;/span&gt;&lt;br&gt;&lt;br&gt;
</v>
      </c>
      <c r="AA45" s="3"/>
      <c r="AB45" s="3"/>
      <c r="AC45" s="3"/>
      <c r="AD45" s="3"/>
      <c r="AE45" s="3"/>
      <c r="AF45" s="1"/>
      <c r="AG45" s="1"/>
      <c r="AH45" s="1"/>
      <c r="AI45" s="1"/>
      <c r="AJ45" s="1"/>
      <c r="AK45" s="1"/>
      <c r="AL45" s="1"/>
      <c r="AM45" s="1"/>
      <c r="AN45" s="1"/>
      <c r="AO45" s="1"/>
      <c r="AP45" s="1"/>
      <c r="AQ45" s="1"/>
      <c r="AR45" s="1"/>
      <c r="AS45" s="1"/>
    </row>
    <row r="46" spans="5:45" ht="27" customHeight="1" x14ac:dyDescent="0.25">
      <c r="E46" s="4"/>
      <c r="F46" s="115"/>
      <c r="G46" s="110"/>
      <c r="H46" s="111">
        <f>+J46+K46+L46</f>
        <v>90.5</v>
      </c>
      <c r="I46" s="111" t="s">
        <v>50</v>
      </c>
      <c r="J46" s="111">
        <v>35.6</v>
      </c>
      <c r="K46" s="111">
        <v>27.6</v>
      </c>
      <c r="L46" s="111">
        <v>27.3</v>
      </c>
      <c r="M46" s="112">
        <f>+L46/(L46+K46+J46)</f>
        <v>0.30165745856353593</v>
      </c>
      <c r="N46" s="110">
        <f>47.5/3</f>
        <v>15.833333333333334</v>
      </c>
      <c r="O46" s="111" t="s">
        <v>60</v>
      </c>
      <c r="P46" s="111"/>
      <c r="Q46" s="111" t="s">
        <v>54</v>
      </c>
      <c r="R46" s="113"/>
      <c r="S46" s="110" t="str">
        <f>+IF(R46&lt;&gt;"",R46*$F$5,"")</f>
        <v/>
      </c>
      <c r="T46" s="110" t="str">
        <f>+IF(S46&lt;&gt;"",S46*N46,"")</f>
        <v/>
      </c>
      <c r="U46" s="110" t="str">
        <f>+IF(T46&lt;&gt;"",T46*J46/100,"")</f>
        <v/>
      </c>
      <c r="V46" s="110" t="str">
        <f>+IF(T46&lt;&gt;"",T46*K46/100,"")</f>
        <v/>
      </c>
      <c r="W46" s="110" t="str">
        <f>+IF(T46&lt;&gt;"",T46*L46/100,"")</f>
        <v/>
      </c>
      <c r="X46" s="114"/>
      <c r="Y46" s="3" t="str">
        <f>IF(S46&lt;&gt;"",CONCATENATE("&lt;checklist/&gt;&amp;nbsp;&amp;nbsp;&amp;nbsp;&amp;nbsp;&amp;nbsp;",I46,": ",S46, " ",O46,P46,$Y$4, " ''(",Q46,")''&lt;/span&gt;&lt;br&gt;&lt;br&gt;"),"")</f>
        <v/>
      </c>
      <c r="Z46" s="3" t="str">
        <f t="shared" si="4"/>
        <v xml:space="preserve">&lt;checklist/&gt;&amp;nbsp;&amp;nbsp;&amp;nbsp;&amp;nbsp;&amp;nbsp;Ravioles ricotta espinaca: 12 paquetes 400 gr ''(Líder)''&lt;/span&gt;&lt;br&gt;&lt;br&gt;
&lt;checklist/&gt;&amp;nbsp;&amp;nbsp;&amp;nbsp;&amp;nbsp;&amp;nbsp;Atún en aceite: 15 tarros 340 gr ''(Líder)''&lt;/span&gt;&lt;br&gt;&lt;br&gt;
</v>
      </c>
      <c r="AA46" s="3"/>
      <c r="AB46" s="3"/>
      <c r="AC46" s="3"/>
      <c r="AD46" s="3"/>
      <c r="AE46" s="3"/>
      <c r="AF46" s="1"/>
      <c r="AG46" s="1"/>
      <c r="AH46" s="1"/>
      <c r="AI46" s="1"/>
      <c r="AJ46" s="1"/>
      <c r="AK46" s="1"/>
      <c r="AL46" s="1"/>
      <c r="AM46" s="1"/>
      <c r="AN46" s="1"/>
      <c r="AO46" s="1"/>
      <c r="AP46" s="1"/>
      <c r="AQ46" s="1"/>
      <c r="AR46" s="1"/>
      <c r="AS46" s="1"/>
    </row>
    <row r="47" spans="5:45" ht="27" customHeight="1" x14ac:dyDescent="0.25">
      <c r="E47" s="4"/>
      <c r="F47" s="115"/>
      <c r="G47" s="110"/>
      <c r="H47" s="111">
        <f>+J47+K47+L47</f>
        <v>71.2</v>
      </c>
      <c r="I47" s="111" t="s">
        <v>49</v>
      </c>
      <c r="J47" s="111">
        <v>63.4</v>
      </c>
      <c r="K47" s="111">
        <v>7</v>
      </c>
      <c r="L47" s="111">
        <v>0.8</v>
      </c>
      <c r="M47" s="112">
        <f>+L47/(L47+K47+J47)</f>
        <v>1.1235955056179775E-2</v>
      </c>
      <c r="N47" s="111">
        <v>50</v>
      </c>
      <c r="O47" s="111" t="str">
        <f>IF(S47=1,"cuarto de tazón de 250 cc (50gr)","cuartos de tazones de 250 cc (50gr cada cuarto)")</f>
        <v>cuartos de tazones de 250 cc (50gr cada cuarto)</v>
      </c>
      <c r="P47" s="111"/>
      <c r="Q47" s="111" t="s">
        <v>53</v>
      </c>
      <c r="R47" s="113"/>
      <c r="S47" s="110" t="str">
        <f>+IF(R47&lt;&gt;"",R47*$F$5,"")</f>
        <v/>
      </c>
      <c r="T47" s="110" t="str">
        <f>+IF(S47&lt;&gt;"",S47*N47,"")</f>
        <v/>
      </c>
      <c r="U47" s="110" t="str">
        <f>+IF(T47&lt;&gt;"",T47*J47/100,"")</f>
        <v/>
      </c>
      <c r="V47" s="110" t="str">
        <f>+IF(T47&lt;&gt;"",T47*K47/100,"")</f>
        <v/>
      </c>
      <c r="W47" s="110" t="str">
        <f>+IF(T47&lt;&gt;"",T47*L47/100,"")</f>
        <v/>
      </c>
      <c r="X47" s="114"/>
      <c r="Y47" s="3" t="str">
        <f>IF(S47&lt;&gt;"",CONCATENATE("&lt;checklist/&gt;&amp;nbsp;&amp;nbsp;&amp;nbsp;&amp;nbsp;&amp;nbsp;",I47,": ",S47, " ",O47,P47,$Y$4, " ''(",Q47,")''&lt;/span&gt;&lt;br&gt;&lt;br&gt;"),"")</f>
        <v/>
      </c>
      <c r="Z47" s="3" t="str">
        <f t="shared" si="4"/>
        <v xml:space="preserve">&lt;checklist/&gt;&amp;nbsp;&amp;nbsp;&amp;nbsp;&amp;nbsp;&amp;nbsp;Ravioles ricotta espinaca: 12 paquetes 400 gr ''(Líder)''&lt;/span&gt;&lt;br&gt;&lt;br&gt;
&lt;checklist/&gt;&amp;nbsp;&amp;nbsp;&amp;nbsp;&amp;nbsp;&amp;nbsp;Atún en aceite: 15 tarros 340 gr ''(Líder)''&lt;/span&gt;&lt;br&gt;&lt;br&gt;
</v>
      </c>
      <c r="AA47" s="3"/>
      <c r="AB47" s="3"/>
      <c r="AC47" s="3"/>
      <c r="AD47" s="3"/>
      <c r="AE47" s="3"/>
      <c r="AF47" s="1"/>
      <c r="AG47" s="1"/>
      <c r="AH47" s="1"/>
      <c r="AI47" s="1"/>
      <c r="AJ47" s="1"/>
      <c r="AK47" s="1"/>
      <c r="AL47" s="1"/>
      <c r="AM47" s="1"/>
      <c r="AN47" s="1"/>
      <c r="AO47" s="1"/>
      <c r="AP47" s="1"/>
      <c r="AQ47" s="1"/>
      <c r="AR47" s="1"/>
      <c r="AS47" s="1"/>
    </row>
    <row r="48" spans="5:45" ht="27" customHeight="1" x14ac:dyDescent="0.25">
      <c r="E48" s="4"/>
      <c r="F48" s="115"/>
      <c r="G48" s="111"/>
      <c r="H48" s="111"/>
      <c r="I48" s="111" t="s">
        <v>73</v>
      </c>
      <c r="J48" s="111"/>
      <c r="K48" s="111"/>
      <c r="L48" s="111"/>
      <c r="M48" s="112"/>
      <c r="N48" s="111"/>
      <c r="O48" s="111"/>
      <c r="P48" s="111"/>
      <c r="Q48" s="111" t="s">
        <v>68</v>
      </c>
      <c r="R48" s="116"/>
      <c r="S48" s="110" t="str">
        <f>+IF(R48&lt;&gt;"",R48*$F$5,"")</f>
        <v/>
      </c>
      <c r="T48" s="110" t="str">
        <f>+IF(S48&lt;&gt;"",S48*N48,"")</f>
        <v/>
      </c>
      <c r="U48" s="110" t="str">
        <f>+IF(T48&lt;&gt;"",T48*J48/100,"")</f>
        <v/>
      </c>
      <c r="V48" s="110" t="str">
        <f>+IF(T48&lt;&gt;"",T48*K48/100,"")</f>
        <v/>
      </c>
      <c r="W48" s="110" t="str">
        <f>+IF(T48&lt;&gt;"",T48*L48/100,"")</f>
        <v/>
      </c>
      <c r="X48" s="114"/>
      <c r="Y48" s="8" t="str">
        <f>IF(S48&lt;&gt;"",CONCATENATE("&lt;checklist/&gt;&amp;nbsp;&amp;nbsp;&amp;nbsp;&amp;nbsp;&amp;nbsp;",I48,": ",S48, " ",O48,P48,$Y$4, " ''(",Q48,")''&lt;/span&gt;&lt;br&gt;&lt;br&gt;"),"")</f>
        <v/>
      </c>
      <c r="Z48" s="3" t="str">
        <f t="shared" si="4"/>
        <v xml:space="preserve">&lt;checklist/&gt;&amp;nbsp;&amp;nbsp;&amp;nbsp;&amp;nbsp;&amp;nbsp;Ravioles ricotta espinaca: 12 paquetes 400 gr ''(Líder)''&lt;/span&gt;&lt;br&gt;&lt;br&gt;
&lt;checklist/&gt;&amp;nbsp;&amp;nbsp;&amp;nbsp;&amp;nbsp;&amp;nbsp;Atún en aceite: 15 tarros 340 gr ''(Líder)''&lt;/span&gt;&lt;br&gt;&lt;br&gt;
</v>
      </c>
      <c r="AA48" s="8"/>
      <c r="AB48" s="3"/>
      <c r="AC48" s="3"/>
      <c r="AD48" s="3"/>
      <c r="AE48" s="3"/>
      <c r="AF48" s="1"/>
      <c r="AG48" s="1"/>
      <c r="AH48" s="1"/>
      <c r="AI48" s="1"/>
      <c r="AJ48" s="1"/>
      <c r="AK48" s="1"/>
      <c r="AL48" s="1"/>
      <c r="AM48" s="1"/>
      <c r="AN48" s="1"/>
      <c r="AO48" s="1"/>
      <c r="AP48" s="1"/>
      <c r="AQ48" s="1"/>
      <c r="AR48" s="1"/>
      <c r="AS48" s="1"/>
    </row>
    <row r="49" spans="5:45" ht="27" customHeight="1" thickBot="1" x14ac:dyDescent="0.3">
      <c r="E49" s="4"/>
      <c r="F49" s="117"/>
      <c r="G49" s="118">
        <f>(+J49*4+K49*4+L49*9)*N49/100</f>
        <v>0</v>
      </c>
      <c r="H49" s="118">
        <f>+J49+K49+L49</f>
        <v>0</v>
      </c>
      <c r="I49" s="118" t="s">
        <v>67</v>
      </c>
      <c r="J49" s="118"/>
      <c r="K49" s="118"/>
      <c r="L49" s="118"/>
      <c r="M49" s="119"/>
      <c r="N49" s="118"/>
      <c r="O49" s="118"/>
      <c r="P49" s="118"/>
      <c r="Q49" s="118" t="s">
        <v>68</v>
      </c>
      <c r="R49" s="120"/>
      <c r="S49" s="121" t="str">
        <f>+IF(R49&lt;&gt;"",R49*$F$5,"")</f>
        <v/>
      </c>
      <c r="T49" s="121" t="str">
        <f>+IF(S49&lt;&gt;"",S49*N49,"")</f>
        <v/>
      </c>
      <c r="U49" s="121" t="str">
        <f>+IF(T49&lt;&gt;"",T49*J49/100,"")</f>
        <v/>
      </c>
      <c r="V49" s="121" t="str">
        <f>+IF(T49&lt;&gt;"",T49*K49/100,"")</f>
        <v/>
      </c>
      <c r="W49" s="121" t="str">
        <f>+IF(T49&lt;&gt;"",T49*L49/100,"")</f>
        <v/>
      </c>
      <c r="X49" s="122"/>
      <c r="Y49" s="8" t="str">
        <f>IF(S49&lt;&gt;"",CONCATENATE("&lt;checklist/&gt;&amp;nbsp;&amp;nbsp;&amp;nbsp;&amp;nbsp;&amp;nbsp;",I49,": ",S49, " ",O49,P49,$Y$4, " ''(",Q49,")''&lt;/span&gt;&lt;br&gt;&lt;br&gt;"),"")</f>
        <v/>
      </c>
      <c r="Z49" s="3" t="str">
        <f t="shared" si="4"/>
        <v xml:space="preserve">&lt;checklist/&gt;&amp;nbsp;&amp;nbsp;&amp;nbsp;&amp;nbsp;&amp;nbsp;Ravioles ricotta espinaca: 12 paquetes 400 gr ''(Líder)''&lt;/span&gt;&lt;br&gt;&lt;br&gt;
&lt;checklist/&gt;&amp;nbsp;&amp;nbsp;&amp;nbsp;&amp;nbsp;&amp;nbsp;Atún en aceite: 15 tarros 340 gr ''(Líder)''&lt;/span&gt;&lt;br&gt;&lt;br&gt;
</v>
      </c>
      <c r="AA49" s="8"/>
      <c r="AB49" s="3"/>
      <c r="AC49" s="3"/>
      <c r="AD49" s="3"/>
      <c r="AE49" s="3"/>
      <c r="AF49" s="1"/>
      <c r="AG49" s="1"/>
      <c r="AH49" s="1"/>
      <c r="AI49" s="1"/>
      <c r="AJ49" s="1"/>
      <c r="AK49" s="1"/>
      <c r="AL49" s="1"/>
      <c r="AM49" s="1"/>
      <c r="AN49" s="1"/>
      <c r="AO49" s="1"/>
      <c r="AP49" s="1"/>
      <c r="AQ49" s="1"/>
      <c r="AR49" s="1"/>
      <c r="AS49" s="1"/>
    </row>
    <row r="50" spans="5:45" x14ac:dyDescent="0.25">
      <c r="E50" s="1"/>
      <c r="F50" s="1"/>
      <c r="G50" s="1"/>
      <c r="H50" s="1"/>
      <c r="J50" s="1"/>
      <c r="K50" s="1"/>
      <c r="L50" s="1"/>
      <c r="M50" s="1"/>
      <c r="N50" s="1"/>
      <c r="O50" s="1"/>
      <c r="P50" s="1"/>
      <c r="Q50" s="1"/>
      <c r="R50" s="1"/>
      <c r="S50" s="1"/>
      <c r="T50" s="1"/>
      <c r="U50" s="1"/>
      <c r="V50" s="1"/>
      <c r="W50" s="1"/>
      <c r="X50" s="4"/>
      <c r="Y50" s="4"/>
      <c r="Z50" s="4"/>
      <c r="AA50" s="4"/>
      <c r="AB50" s="1"/>
      <c r="AC50" s="1"/>
      <c r="AD50" s="1"/>
      <c r="AE50" s="1"/>
      <c r="AF50" s="1"/>
      <c r="AG50" s="1"/>
      <c r="AH50" s="1"/>
      <c r="AI50" s="1"/>
      <c r="AJ50" s="1"/>
      <c r="AK50" s="1"/>
      <c r="AL50" s="1"/>
      <c r="AM50" s="1"/>
      <c r="AN50" s="1"/>
      <c r="AO50" s="1"/>
      <c r="AP50" s="1"/>
      <c r="AQ50" s="1"/>
      <c r="AR50" s="1"/>
      <c r="AS50" s="1"/>
    </row>
    <row r="51" spans="5:45" x14ac:dyDescent="0.25">
      <c r="E51" s="1"/>
      <c r="F51" s="1"/>
      <c r="G51" s="1"/>
      <c r="H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5:45" x14ac:dyDescent="0.25">
      <c r="E52" s="1"/>
      <c r="F52" s="1"/>
      <c r="G52" s="1"/>
      <c r="H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5:45" x14ac:dyDescent="0.25">
      <c r="E53" s="1"/>
      <c r="F53" s="1"/>
      <c r="G53" s="1"/>
      <c r="H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5:45" x14ac:dyDescent="0.25">
      <c r="E54" s="1"/>
      <c r="F54" s="1"/>
      <c r="G54" s="1"/>
      <c r="H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5:45" x14ac:dyDescent="0.25">
      <c r="E55" s="1"/>
      <c r="F55" s="1"/>
      <c r="G55" s="1"/>
      <c r="H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5:45" x14ac:dyDescent="0.25">
      <c r="E56" s="1"/>
      <c r="F56" s="1"/>
      <c r="G56" s="1"/>
      <c r="H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5:45" x14ac:dyDescent="0.25">
      <c r="E57" s="1"/>
      <c r="F57" s="1"/>
      <c r="G57" s="1"/>
      <c r="H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5:45" x14ac:dyDescent="0.25">
      <c r="E58" s="1"/>
      <c r="F58" s="1"/>
      <c r="G58" s="1"/>
      <c r="H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5:45" x14ac:dyDescent="0.25">
      <c r="E59" s="1"/>
      <c r="F59" s="1"/>
      <c r="G59" s="1"/>
      <c r="H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5:45" x14ac:dyDescent="0.25">
      <c r="E60" s="1"/>
      <c r="F60" s="1"/>
      <c r="G60" s="1"/>
      <c r="H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5:45" x14ac:dyDescent="0.25">
      <c r="E61" s="1"/>
      <c r="F61" s="1"/>
      <c r="G61" s="1"/>
      <c r="H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5:45" x14ac:dyDescent="0.25">
      <c r="E62" s="1"/>
      <c r="F62" s="1"/>
      <c r="G62" s="1"/>
      <c r="H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5:45" x14ac:dyDescent="0.25">
      <c r="E63" s="1"/>
      <c r="F63" s="1"/>
      <c r="G63" s="1"/>
      <c r="H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5:45" x14ac:dyDescent="0.25">
      <c r="E64" s="1"/>
      <c r="F64" s="1"/>
      <c r="G64" s="1"/>
      <c r="H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5:45" x14ac:dyDescent="0.25">
      <c r="E65" s="1"/>
      <c r="F65" s="1"/>
      <c r="G65" s="1"/>
      <c r="H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5:45" x14ac:dyDescent="0.25">
      <c r="E66" s="1"/>
      <c r="F66" s="1"/>
      <c r="G66" s="1"/>
      <c r="H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5:45" x14ac:dyDescent="0.25">
      <c r="E67" s="1"/>
      <c r="F67" s="1"/>
      <c r="G67" s="1"/>
      <c r="H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5:45" x14ac:dyDescent="0.25">
      <c r="E68" s="1"/>
      <c r="F68" s="1"/>
      <c r="G68" s="1"/>
      <c r="H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5:45" x14ac:dyDescent="0.25">
      <c r="E69" s="1"/>
      <c r="F69" s="1"/>
      <c r="G69" s="1"/>
      <c r="H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5:45" x14ac:dyDescent="0.25">
      <c r="E70" s="1"/>
      <c r="F70" s="1"/>
      <c r="G70" s="1"/>
      <c r="H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5:45" x14ac:dyDescent="0.25">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5:45" x14ac:dyDescent="0.25">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5:45" x14ac:dyDescent="0.25">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5:45" x14ac:dyDescent="0.25">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5:45" x14ac:dyDescent="0.25">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5:45" x14ac:dyDescent="0.25">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5:45" x14ac:dyDescent="0.2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5:45" x14ac:dyDescent="0.25">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5:45" x14ac:dyDescent="0.25">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5:45" x14ac:dyDescent="0.25">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row>
    <row r="81" spans="5:45" x14ac:dyDescent="0.25">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row>
    <row r="82" spans="5:45" x14ac:dyDescent="0.25">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row>
    <row r="83" spans="5:45" x14ac:dyDescent="0.25">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row>
    <row r="84" spans="5:45" x14ac:dyDescent="0.25">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row>
    <row r="85" spans="5:45" x14ac:dyDescent="0.25">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row>
    <row r="86" spans="5:45" x14ac:dyDescent="0.25">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row>
    <row r="87" spans="5:45" x14ac:dyDescent="0.25">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row>
    <row r="88" spans="5:45" x14ac:dyDescent="0.25">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row>
    <row r="89" spans="5:45" x14ac:dyDescent="0.25">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row>
    <row r="90" spans="5:45" x14ac:dyDescent="0.25">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row>
    <row r="91" spans="5:45" x14ac:dyDescent="0.25">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row>
    <row r="92" spans="5:45" x14ac:dyDescent="0.25">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row>
    <row r="93" spans="5:45" x14ac:dyDescent="0.25">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row>
    <row r="94" spans="5:45" x14ac:dyDescent="0.25">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row>
    <row r="95" spans="5:45" x14ac:dyDescent="0.25">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row>
    <row r="96" spans="5:45" x14ac:dyDescent="0.25">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row>
    <row r="97" spans="5:45" x14ac:dyDescent="0.25">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row>
    <row r="98" spans="5:45" x14ac:dyDescent="0.25">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row>
    <row r="99" spans="5:45" x14ac:dyDescent="0.25">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row>
    <row r="100" spans="5:45" x14ac:dyDescent="0.25">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row>
    <row r="101" spans="5:45" x14ac:dyDescent="0.25">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5:45" x14ac:dyDescent="0.25">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5:45" x14ac:dyDescent="0.25">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5:45" x14ac:dyDescent="0.25">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5:45" x14ac:dyDescent="0.25">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row>
    <row r="106" spans="5:45" x14ac:dyDescent="0.25">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5:45" x14ac:dyDescent="0.25">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5:45" x14ac:dyDescent="0.25">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5:45" x14ac:dyDescent="0.25">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5:45" x14ac:dyDescent="0.25">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5:45" x14ac:dyDescent="0.25">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row>
    <row r="112" spans="5:45" x14ac:dyDescent="0.25">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5:45" x14ac:dyDescent="0.25">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5:45" x14ac:dyDescent="0.25">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5:45" x14ac:dyDescent="0.25">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5:45" x14ac:dyDescent="0.25">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5:45" x14ac:dyDescent="0.25">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5:45" x14ac:dyDescent="0.25">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5:45" x14ac:dyDescent="0.25">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5:45" x14ac:dyDescent="0.25">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5:45" x14ac:dyDescent="0.25">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5:45" x14ac:dyDescent="0.25">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5:45" x14ac:dyDescent="0.25">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5:45" x14ac:dyDescent="0.25">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5:45" x14ac:dyDescent="0.25">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row>
    <row r="126" spans="5:45" x14ac:dyDescent="0.25">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row>
    <row r="127" spans="5:45" x14ac:dyDescent="0.25">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5:45" x14ac:dyDescent="0.25">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row>
    <row r="129" spans="5:45" x14ac:dyDescent="0.25">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row>
    <row r="130" spans="5:45" x14ac:dyDescent="0.25">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row>
    <row r="131" spans="5:45" x14ac:dyDescent="0.25">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5:45" x14ac:dyDescent="0.25">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row>
    <row r="133" spans="5:45" x14ac:dyDescent="0.25">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row>
    <row r="134" spans="5:45" x14ac:dyDescent="0.25">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row>
    <row r="135" spans="5:45" x14ac:dyDescent="0.25">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row>
    <row r="136" spans="5:45" x14ac:dyDescent="0.25">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row>
    <row r="137" spans="5:45" x14ac:dyDescent="0.25">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row>
    <row r="138" spans="5:45" x14ac:dyDescent="0.25">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row>
    <row r="139" spans="5:45" x14ac:dyDescent="0.25">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row>
    <row r="140" spans="5:45" x14ac:dyDescent="0.25">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1" spans="5:45" x14ac:dyDescent="0.25">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row>
    <row r="142" spans="5:45" x14ac:dyDescent="0.25">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row>
    <row r="143" spans="5:45" x14ac:dyDescent="0.25">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row>
    <row r="144" spans="5:45" x14ac:dyDescent="0.25">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row>
    <row r="145" spans="5:45" x14ac:dyDescent="0.25">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5:45" x14ac:dyDescent="0.25">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row>
    <row r="147" spans="5:45" x14ac:dyDescent="0.25">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5:45" x14ac:dyDescent="0.25">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5:45" x14ac:dyDescent="0.25">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5:45" x14ac:dyDescent="0.25">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5:45" x14ac:dyDescent="0.25">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5:45" x14ac:dyDescent="0.25">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5:45" x14ac:dyDescent="0.25">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5:45" x14ac:dyDescent="0.25">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5:45" x14ac:dyDescent="0.25">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5:45" x14ac:dyDescent="0.25">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5:45" x14ac:dyDescent="0.25">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5:45" x14ac:dyDescent="0.25">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5:45" x14ac:dyDescent="0.25">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5:45" x14ac:dyDescent="0.25">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5:45" x14ac:dyDescent="0.25">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5:45" x14ac:dyDescent="0.25">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5:45" x14ac:dyDescent="0.25">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5:45" x14ac:dyDescent="0.25">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5:45" x14ac:dyDescent="0.25">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row>
    <row r="166" spans="5:45" x14ac:dyDescent="0.25">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row>
    <row r="167" spans="5:45" x14ac:dyDescent="0.25">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row>
    <row r="168" spans="5:45" x14ac:dyDescent="0.25">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row r="169" spans="5:45" x14ac:dyDescent="0.25">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row>
    <row r="170" spans="5:45" x14ac:dyDescent="0.25">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row>
    <row r="171" spans="5:45" x14ac:dyDescent="0.25">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row>
    <row r="172" spans="5:45" x14ac:dyDescent="0.25">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row>
    <row r="173" spans="5:45" x14ac:dyDescent="0.25">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row>
    <row r="174" spans="5:45" x14ac:dyDescent="0.25">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row>
    <row r="175" spans="5:45" x14ac:dyDescent="0.25">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row>
    <row r="176" spans="5:45" x14ac:dyDescent="0.25">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row>
    <row r="177" spans="5:45" x14ac:dyDescent="0.25">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row>
    <row r="178" spans="5:45" x14ac:dyDescent="0.25">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row>
    <row r="179" spans="5:45" x14ac:dyDescent="0.25">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row>
    <row r="180" spans="5:45" x14ac:dyDescent="0.25">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row>
    <row r="181" spans="5:45" x14ac:dyDescent="0.25">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5:45" x14ac:dyDescent="0.25">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5:45" x14ac:dyDescent="0.25">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row>
    <row r="184" spans="5:45" x14ac:dyDescent="0.25">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row>
    <row r="185" spans="5:45" x14ac:dyDescent="0.25">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row>
    <row r="186" spans="5:45" x14ac:dyDescent="0.25">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row>
    <row r="187" spans="5:45" x14ac:dyDescent="0.25">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row>
    <row r="188" spans="5:45" x14ac:dyDescent="0.25">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row>
    <row r="189" spans="5:45" x14ac:dyDescent="0.25">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row>
    <row r="190" spans="5:45" x14ac:dyDescent="0.25">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row>
    <row r="191" spans="5:45" x14ac:dyDescent="0.25">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row>
    <row r="192" spans="5:45" x14ac:dyDescent="0.25">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row>
    <row r="193" spans="5:45" x14ac:dyDescent="0.25">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row>
    <row r="194" spans="5:45" x14ac:dyDescent="0.25">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row>
    <row r="195" spans="5:45" x14ac:dyDescent="0.25">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row>
    <row r="196" spans="5:45" x14ac:dyDescent="0.25">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row>
    <row r="197" spans="5:45" x14ac:dyDescent="0.25">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row>
    <row r="198" spans="5:45" x14ac:dyDescent="0.25">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row>
    <row r="199" spans="5:45" x14ac:dyDescent="0.25">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row>
    <row r="200" spans="5:45" x14ac:dyDescent="0.25">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row>
    <row r="201" spans="5:45" x14ac:dyDescent="0.25">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row>
    <row r="202" spans="5:45" x14ac:dyDescent="0.25">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row>
    <row r="203" spans="5:45" x14ac:dyDescent="0.25">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row>
    <row r="204" spans="5:45" x14ac:dyDescent="0.25">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5:45" x14ac:dyDescent="0.25">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5:45" x14ac:dyDescent="0.25">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5:45" x14ac:dyDescent="0.25">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5:45" x14ac:dyDescent="0.25">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09" spans="5:45" x14ac:dyDescent="0.25">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row>
    <row r="210" spans="5:45" x14ac:dyDescent="0.25">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row>
    <row r="211" spans="5:45" x14ac:dyDescent="0.25">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row>
    <row r="212" spans="5:45" x14ac:dyDescent="0.25">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row>
    <row r="213" spans="5:45" x14ac:dyDescent="0.25">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row>
    <row r="214" spans="5:45" x14ac:dyDescent="0.25">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5:45" x14ac:dyDescent="0.25">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5:45" x14ac:dyDescent="0.25">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5:45" x14ac:dyDescent="0.25">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5:45" x14ac:dyDescent="0.25">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5:45" x14ac:dyDescent="0.25">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5:45" x14ac:dyDescent="0.25">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5:45" x14ac:dyDescent="0.25">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row>
    <row r="222" spans="5:45" x14ac:dyDescent="0.25">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row>
    <row r="223" spans="5:45" x14ac:dyDescent="0.25">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row>
    <row r="224" spans="5:45" x14ac:dyDescent="0.25">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row>
    <row r="225" spans="5:45" x14ac:dyDescent="0.25">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row>
  </sheetData>
  <mergeCells count="1">
    <mergeCell ref="U1:W1"/>
  </mergeCells>
  <conditionalFormatting sqref="U3">
    <cfRule type="cellIs" dxfId="15" priority="9" operator="greaterThan">
      <formula>$U$2</formula>
    </cfRule>
    <cfRule type="cellIs" dxfId="14" priority="10" operator="lessThan">
      <formula>$U$2</formula>
    </cfRule>
    <cfRule type="cellIs" dxfId="13" priority="11" operator="greaterThan">
      <formula>$U$2</formula>
    </cfRule>
    <cfRule type="cellIs" dxfId="12" priority="16" operator="greaterThan">
      <formula>$U$2</formula>
    </cfRule>
  </conditionalFormatting>
  <conditionalFormatting sqref="V3">
    <cfRule type="cellIs" dxfId="11" priority="7" operator="greaterThan">
      <formula>$V$2</formula>
    </cfRule>
    <cfRule type="cellIs" dxfId="10" priority="14" operator="lessThan">
      <formula>$V$2</formula>
    </cfRule>
    <cfRule type="cellIs" dxfId="9" priority="15" operator="greaterThan">
      <formula>$U$2</formula>
    </cfRule>
  </conditionalFormatting>
  <conditionalFormatting sqref="W3">
    <cfRule type="cellIs" dxfId="8" priority="8" operator="greaterThan">
      <formula>$W$2</formula>
    </cfRule>
    <cfRule type="cellIs" dxfId="7" priority="12" operator="lessThan">
      <formula>$V$2</formula>
    </cfRule>
    <cfRule type="cellIs" dxfId="6" priority="13" operator="greaterThan">
      <formula>$U$2</formula>
    </cfRule>
  </conditionalFormatting>
  <conditionalFormatting sqref="X3">
    <cfRule type="cellIs" dxfId="5" priority="5" operator="lessThan">
      <formula>$X$2</formula>
    </cfRule>
    <cfRule type="cellIs" dxfId="4" priority="6" operator="greaterThan">
      <formula>$X$2</formula>
    </cfRule>
  </conditionalFormatting>
  <conditionalFormatting sqref="U5:W5">
    <cfRule type="cellIs" dxfId="3" priority="3" operator="lessThan">
      <formula>$U$4</formula>
    </cfRule>
    <cfRule type="cellIs" dxfId="2" priority="4" operator="greaterThan">
      <formula>$U$4</formula>
    </cfRule>
  </conditionalFormatting>
  <conditionalFormatting sqref="W5">
    <cfRule type="cellIs" dxfId="1" priority="2" operator="greaterThan">
      <formula>$W$4</formula>
    </cfRule>
  </conditionalFormatting>
  <conditionalFormatting sqref="V5:W5">
    <cfRule type="cellIs" dxfId="0" priority="1" operator="greaterThan">
      <formula>$V$4</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 Wikiexplora.com</vt:lpstr>
      <vt:lpstr>Alimentación - Wikiexplora.com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Joaquín Barañao Díaz</dc:creator>
  <cp:lastModifiedBy>Joaquín Barañao Díaz</cp:lastModifiedBy>
  <dcterms:created xsi:type="dcterms:W3CDTF">2017-11-15T14:35:36Z</dcterms:created>
  <dcterms:modified xsi:type="dcterms:W3CDTF">2018-02-22T02:02:38Z</dcterms:modified>
</cp:coreProperties>
</file>